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ContentType="image/jpeg" Extension="jpeg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2"/><Relationship Target="docProps/app.xml" Type="http://schemas.openxmlformats.org/officeDocument/2006/relationships/extended-properties" Id="rId3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sheets>
    <sheet sheetId="1" name="Orçamento Sintético" r:id="rId4"/>
  </sheets>
  <definedNames>
    <definedName name="_xlnm.Print_Titles" localSheetId="0">'repeated header'!$4:$4</definedName>
  </definedNames>
</workbook>
</file>

<file path=xl/styles.xml><?xml version="1.0" encoding="utf-8"?>
<styleSheet xmlns="http://schemas.openxmlformats.org/spreadsheetml/2006/main">
  <numFmts count="27">
    <numFmt numFmtId="100" formatCode="yyyy/mm/dd"/>
    <numFmt numFmtId="101" formatCode="yyyy/mm/dd hh:mm:ss"/>
    <numFmt numFmtId="102" formatCode="#,##0.00"/>
    <numFmt numFmtId="103" formatCode="#,##0.00 %"/>
    <numFmt numFmtId="104" formatCode="#,##0.00"/>
    <numFmt numFmtId="105" formatCode="#,##0.00 %"/>
    <numFmt numFmtId="106" formatCode="#,##0.0000"/>
    <numFmt numFmtId="107" formatCode="#,##0.0000000"/>
    <numFmt numFmtId="108" formatCode="#,##0.00"/>
    <numFmt numFmtId="109" formatCode="#,##0.00 %"/>
    <numFmt numFmtId="110" formatCode="#,##0.0000"/>
    <numFmt numFmtId="111" formatCode="#,##0.0000000"/>
    <numFmt numFmtId="112" formatCode="#,##0.00"/>
    <numFmt numFmtId="113" formatCode="#,##0.00 %"/>
    <numFmt numFmtId="114" formatCode="#,##0.0000"/>
    <numFmt numFmtId="115" formatCode="#,##0.0000000"/>
    <numFmt numFmtId="116" formatCode="#,##0.00"/>
    <numFmt numFmtId="117" formatCode="#,##0.00 %"/>
    <numFmt numFmtId="118" formatCode="#,##0.0000"/>
    <numFmt numFmtId="119" formatCode="#,##0.0000000"/>
    <numFmt numFmtId="120" formatCode="#,##0.00"/>
    <numFmt numFmtId="121" formatCode="#,##0.0000"/>
    <numFmt numFmtId="122" formatCode="#,##0.00"/>
    <numFmt numFmtId="123" formatCode="#,##0.0000"/>
    <numFmt numFmtId="124" formatCode="#,##0.0000000"/>
    <numFmt numFmtId="125" formatCode="#,##0.00 %"/>
    <numFmt numFmtId="126" formatCode="#,##0.00"/>
  </numFmts>
  <fonts count="74">
    <font>
      <name val="Arial"/>
      <sz val="11"/>
      <family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</font>
  </fonts>
  <fills count="7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F3FCFF"/>
      </patternFill>
    </fill>
    <fill>
      <patternFill patternType="solid">
        <fgColor rgb="FFF3FCFF"/>
      </patternFill>
    </fill>
    <fill>
      <patternFill patternType="solid">
        <fgColor rgb="FFF3FCFF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8FFF4"/>
      </patternFill>
    </fill>
    <fill>
      <patternFill patternType="solid">
        <fgColor rgb="FFF8FFF4"/>
      </patternFill>
    </fill>
    <fill>
      <patternFill patternType="solid">
        <fgColor rgb="FFF8FFF4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FFDF3"/>
      </patternFill>
    </fill>
    <fill>
      <patternFill patternType="solid">
        <fgColor rgb="FFFFFDF3"/>
      </patternFill>
    </fill>
    <fill>
      <patternFill patternType="solid">
        <fgColor rgb="FFFFFDF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FFFFFF"/>
      </patternFill>
    </fill>
  </fills>
  <borders count="5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top style="thick">
        <color rgb="FF000000"/>
      </top>
    </border>
    <border>
      <top style="thick">
        <color rgb="FF000000"/>
      </top>
    </border>
    <border>
      <top style="thick">
        <color rgb="FF000000"/>
      </top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bottom style="thick">
        <color rgb="FFFF5500"/>
      </bottom>
    </border>
    <border>
      <bottom style="thick">
        <color rgb="FF0092F6"/>
      </bottom>
    </border>
    <border>
      <bottom style="thick">
        <color rgb="FFFF5500"/>
      </bottom>
    </border>
    <border>
      <bottom style="thick">
        <color rgb="FFFF5500"/>
      </bottom>
    </border>
  </borders>
  <cellStyleXfs count="1">
    <xf borderId="0" numFmtId="0" fontId="0" fillId="0"/>
  </cellStyleXfs>
  <cellXfs count="76">
    <xf borderId="0" numFmtId="0" fontId="0" fillId="0" xfId="0"/>
    <xf borderId="1" numFmtId="0" fontId="0" fillId="0" xfId="0"/>
    <xf borderId="0" numFmtId="14" fontId="0" fillId="0" xfId="0" applyNumberFormat="1"/>
    <xf borderId="0" numFmtId="0" fontId="1" fillId="2" applyNumberFormat="0" applyFill="1" applyFont="1" applyBorder="0" applyAlignment="1" applyProtection="0">
      <alignment horizontal="left" vertical="top" wrapText="1"/>
    </xf>
    <xf borderId="0" numFmtId="0" fontId="2" fillId="3" applyNumberFormat="0" applyFill="1" applyFont="1" applyBorder="0" applyAlignment="1" applyProtection="0">
      <alignment horizontal="center" vertical="bottom" wrapText="1"/>
    </xf>
    <xf borderId="2" numFmtId="0" fontId="3" fillId="4" applyNumberFormat="0" applyFill="1" applyFont="1" applyBorder="1" applyAlignment="1" applyProtection="0">
      <alignment horizontal="left" vertical="top" wrapText="1"/>
    </xf>
    <xf borderId="3" numFmtId="0" fontId="4" fillId="5" applyNumberFormat="0" applyFill="1" applyFont="1" applyBorder="1" applyAlignment="1" applyProtection="0">
      <alignment horizontal="center" vertical="top" wrapText="1"/>
    </xf>
    <xf borderId="4" numFmtId="0" fontId="5" fillId="6" applyNumberFormat="0" applyFill="1" applyFont="1" applyBorder="1" applyAlignment="1" applyProtection="0">
      <alignment horizontal="right" vertical="top" wrapText="1"/>
    </xf>
    <xf borderId="5" numFmtId="0" fontId="6" fillId="7" applyNumberFormat="0" applyFill="1" applyFont="1" applyBorder="1" applyAlignment="1" applyProtection="0">
      <alignment horizontal="left" vertical="top" wrapText="1"/>
    </xf>
    <xf borderId="6" numFmtId="0" fontId="7" fillId="8" applyNumberFormat="0" applyFill="1" applyFont="1" applyBorder="1" applyAlignment="1" applyProtection="0">
      <alignment horizontal="center" vertical="top" wrapText="1"/>
    </xf>
    <xf borderId="7" numFmtId="0" fontId="8" fillId="9" applyNumberFormat="0" applyFill="1" applyFont="1" applyBorder="1" applyAlignment="1" applyProtection="0">
      <alignment horizontal="right" vertical="top" wrapText="1"/>
    </xf>
    <xf borderId="8" numFmtId="102" fontId="9" fillId="10" applyNumberFormat="1" applyFill="1" applyFont="1" applyBorder="1" applyAlignment="1" applyProtection="0">
      <alignment horizontal="right" vertical="top" wrapText="1"/>
    </xf>
    <xf borderId="9" numFmtId="103" fontId="10" fillId="11" applyNumberFormat="1" applyFill="1" applyFont="1" applyBorder="1" applyAlignment="1" applyProtection="0">
      <alignment horizontal="right" vertical="top" wrapText="1"/>
    </xf>
    <xf borderId="10" numFmtId="0" fontId="11" fillId="12" applyNumberFormat="0" applyFill="1" applyFont="1" applyBorder="1" applyAlignment="1" applyProtection="0">
      <alignment horizontal="left" vertical="top" wrapText="1"/>
    </xf>
    <xf borderId="11" numFmtId="0" fontId="12" fillId="13" applyNumberFormat="0" applyFill="1" applyFont="1" applyBorder="1" applyAlignment="1" applyProtection="0">
      <alignment horizontal="center" vertical="top" wrapText="1"/>
    </xf>
    <xf borderId="12" numFmtId="0" fontId="13" fillId="14" applyNumberFormat="0" applyFill="1" applyFont="1" applyBorder="1" applyAlignment="1" applyProtection="0">
      <alignment horizontal="right" vertical="top" wrapText="1"/>
    </xf>
    <xf borderId="13" numFmtId="0" fontId="14" fillId="15" applyNumberFormat="0" applyFill="1" applyFont="1" applyBorder="1" applyAlignment="1" applyProtection="0">
      <alignment horizontal="left" vertical="top" wrapText="1"/>
    </xf>
    <xf borderId="14" numFmtId="0" fontId="15" fillId="16" applyNumberFormat="0" applyFill="1" applyFont="1" applyBorder="1" applyAlignment="1" applyProtection="0">
      <alignment horizontal="center" vertical="top" wrapText="1"/>
    </xf>
    <xf borderId="15" numFmtId="0" fontId="16" fillId="17" applyNumberFormat="0" applyFill="1" applyFont="1" applyBorder="1" applyAlignment="1" applyProtection="0">
      <alignment horizontal="right" vertical="top" wrapText="1"/>
    </xf>
    <xf borderId="16" numFmtId="104" fontId="17" fillId="18" applyNumberFormat="1" applyFill="1" applyFont="1" applyBorder="1" applyAlignment="1" applyProtection="0">
      <alignment horizontal="right" vertical="top" wrapText="1"/>
    </xf>
    <xf borderId="17" numFmtId="105" fontId="18" fillId="19" applyNumberFormat="1" applyFill="1" applyFont="1" applyBorder="1" applyAlignment="1" applyProtection="0">
      <alignment horizontal="right" vertical="top" wrapText="1"/>
    </xf>
    <xf borderId="18" numFmtId="106" fontId="19" fillId="20" applyNumberFormat="1" applyFill="1" applyFont="1" applyBorder="1" applyAlignment="1" applyProtection="0">
      <alignment horizontal="right" vertical="top" wrapText="1"/>
    </xf>
    <xf borderId="19" numFmtId="107" fontId="20" fillId="21" applyNumberFormat="1" applyFill="1" applyFont="1" applyBorder="1" applyAlignment="1" applyProtection="0">
      <alignment horizontal="right" vertical="top" wrapText="1"/>
    </xf>
    <xf borderId="20" numFmtId="0" fontId="21" fillId="22" applyNumberFormat="0" applyFill="1" applyFont="1" applyBorder="1" applyAlignment="1" applyProtection="0">
      <alignment horizontal="right" vertical="top" wrapText="1"/>
    </xf>
    <xf borderId="21" numFmtId="0" fontId="22" fillId="23" applyNumberFormat="0" applyFill="1" applyFont="1" applyBorder="1" applyAlignment="1" applyProtection="0">
      <alignment horizontal="left" vertical="top" wrapText="1"/>
    </xf>
    <xf borderId="22" numFmtId="0" fontId="23" fillId="24" applyNumberFormat="0" applyFill="1" applyFont="1" applyBorder="1" applyAlignment="1" applyProtection="0">
      <alignment horizontal="center" vertical="top" wrapText="1"/>
    </xf>
    <xf borderId="23" numFmtId="0" fontId="24" fillId="25" applyNumberFormat="0" applyFill="1" applyFont="1" applyBorder="1" applyAlignment="1" applyProtection="0">
      <alignment horizontal="right" vertical="top" wrapText="1"/>
    </xf>
    <xf borderId="24" numFmtId="0" fontId="25" fillId="26" applyNumberFormat="0" applyFill="1" applyFont="1" applyBorder="1" applyAlignment="1" applyProtection="0">
      <alignment horizontal="left" vertical="top" wrapText="1"/>
    </xf>
    <xf borderId="25" numFmtId="0" fontId="26" fillId="27" applyNumberFormat="0" applyFill="1" applyFont="1" applyBorder="1" applyAlignment="1" applyProtection="0">
      <alignment horizontal="center" vertical="top" wrapText="1"/>
    </xf>
    <xf borderId="26" numFmtId="0" fontId="27" fillId="28" applyNumberFormat="0" applyFill="1" applyFont="1" applyBorder="1" applyAlignment="1" applyProtection="0">
      <alignment horizontal="right" vertical="top" wrapText="1"/>
    </xf>
    <xf borderId="27" numFmtId="0" fontId="28" fillId="29" applyNumberFormat="0" applyFill="1" applyFont="1" applyBorder="1" applyAlignment="1" applyProtection="0">
      <alignment horizontal="left" vertical="top" wrapText="1"/>
    </xf>
    <xf borderId="28" numFmtId="0" fontId="29" fillId="30" applyNumberFormat="0" applyFill="1" applyFont="1" applyBorder="1" applyAlignment="1" applyProtection="0">
      <alignment horizontal="center" vertical="top" wrapText="1"/>
    </xf>
    <xf borderId="29" numFmtId="0" fontId="30" fillId="31" applyNumberFormat="0" applyFill="1" applyFont="1" applyBorder="1" applyAlignment="1" applyProtection="0">
      <alignment horizontal="right" vertical="top" wrapText="1"/>
    </xf>
    <xf borderId="30" numFmtId="108" fontId="31" fillId="32" applyNumberFormat="1" applyFill="1" applyFont="1" applyBorder="1" applyAlignment="1" applyProtection="0">
      <alignment horizontal="right" vertical="top" wrapText="1"/>
    </xf>
    <xf borderId="31" numFmtId="109" fontId="32" fillId="33" applyNumberFormat="1" applyFill="1" applyFont="1" applyBorder="1" applyAlignment="1" applyProtection="0">
      <alignment horizontal="right" vertical="top" wrapText="1"/>
    </xf>
    <xf borderId="32" numFmtId="110" fontId="33" fillId="34" applyNumberFormat="1" applyFill="1" applyFont="1" applyBorder="1" applyAlignment="1" applyProtection="0">
      <alignment horizontal="right" vertical="top" wrapText="1"/>
    </xf>
    <xf borderId="33" numFmtId="111" fontId="34" fillId="35" applyNumberFormat="1" applyFill="1" applyFont="1" applyBorder="1" applyAlignment="1" applyProtection="0">
      <alignment horizontal="right" vertical="top" wrapText="1"/>
    </xf>
    <xf borderId="34" numFmtId="0" fontId="35" fillId="36" applyNumberFormat="0" applyFill="1" applyFont="1" applyBorder="1" applyAlignment="1" applyProtection="0">
      <alignment horizontal="left" vertical="top" wrapText="1"/>
    </xf>
    <xf borderId="35" numFmtId="0" fontId="36" fillId="37" applyNumberFormat="0" applyFill="1" applyFont="1" applyBorder="1" applyAlignment="1" applyProtection="0">
      <alignment horizontal="center" vertical="top" wrapText="1"/>
    </xf>
    <xf borderId="36" numFmtId="0" fontId="37" fillId="38" applyNumberFormat="0" applyFill="1" applyFont="1" applyBorder="1" applyAlignment="1" applyProtection="0">
      <alignment horizontal="right" vertical="top" wrapText="1"/>
    </xf>
    <xf borderId="37" numFmtId="112" fontId="38" fillId="39" applyNumberFormat="1" applyFill="1" applyFont="1" applyBorder="1" applyAlignment="1" applyProtection="0">
      <alignment horizontal="right" vertical="top" wrapText="1"/>
    </xf>
    <xf borderId="38" numFmtId="113" fontId="39" fillId="40" applyNumberFormat="1" applyFill="1" applyFont="1" applyBorder="1" applyAlignment="1" applyProtection="0">
      <alignment horizontal="right" vertical="top" wrapText="1"/>
    </xf>
    <xf borderId="39" numFmtId="114" fontId="40" fillId="41" applyNumberFormat="1" applyFill="1" applyFont="1" applyBorder="1" applyAlignment="1" applyProtection="0">
      <alignment horizontal="right" vertical="top" wrapText="1"/>
    </xf>
    <xf borderId="40" numFmtId="115" fontId="41" fillId="42" applyNumberFormat="1" applyFill="1" applyFont="1" applyBorder="1" applyAlignment="1" applyProtection="0">
      <alignment horizontal="right" vertical="top" wrapText="1"/>
    </xf>
    <xf borderId="41" numFmtId="0" fontId="42" fillId="43" applyNumberFormat="0" applyFill="1" applyFont="1" applyBorder="1" applyAlignment="1" applyProtection="0">
      <alignment horizontal="left" vertical="top" wrapText="1"/>
    </xf>
    <xf borderId="42" numFmtId="0" fontId="43" fillId="44" applyNumberFormat="0" applyFill="1" applyFont="1" applyBorder="1" applyAlignment="1" applyProtection="0">
      <alignment horizontal="center" vertical="top" wrapText="1"/>
    </xf>
    <xf borderId="43" numFmtId="0" fontId="44" fillId="45" applyNumberFormat="0" applyFill="1" applyFont="1" applyBorder="1" applyAlignment="1" applyProtection="0">
      <alignment horizontal="right" vertical="top" wrapText="1"/>
    </xf>
    <xf borderId="44" numFmtId="116" fontId="45" fillId="46" applyNumberFormat="1" applyFill="1" applyFont="1" applyBorder="1" applyAlignment="1" applyProtection="0">
      <alignment horizontal="right" vertical="top" wrapText="1"/>
    </xf>
    <xf borderId="45" numFmtId="117" fontId="46" fillId="47" applyNumberFormat="1" applyFill="1" applyFont="1" applyBorder="1" applyAlignment="1" applyProtection="0">
      <alignment horizontal="right" vertical="top" wrapText="1"/>
    </xf>
    <xf borderId="46" numFmtId="118" fontId="47" fillId="48" applyNumberFormat="1" applyFill="1" applyFont="1" applyBorder="1" applyAlignment="1" applyProtection="0">
      <alignment horizontal="right" vertical="top" wrapText="1"/>
    </xf>
    <xf borderId="47" numFmtId="119" fontId="48" fillId="49" applyNumberFormat="1" applyFill="1" applyFont="1" applyBorder="1" applyAlignment="1" applyProtection="0">
      <alignment horizontal="right" vertical="top" wrapText="1"/>
    </xf>
    <xf borderId="48" numFmtId="0" fontId="49" fillId="50" applyNumberFormat="0" applyFill="1" applyFont="1" applyBorder="1" applyAlignment="1" applyProtection="0">
      <alignment horizontal="right" vertical="top" wrapText="1"/>
    </xf>
    <xf borderId="49" numFmtId="0" fontId="50" fillId="51" applyNumberFormat="0" applyFill="1" applyFont="1" applyBorder="1" applyAlignment="1" applyProtection="0">
      <alignment horizontal="left" vertical="top" wrapText="1"/>
    </xf>
    <xf borderId="50" numFmtId="0" fontId="51" fillId="52" applyNumberFormat="0" applyFill="1" applyFont="1" applyBorder="1" applyAlignment="1" applyProtection="0">
      <alignment horizontal="center" vertical="top" wrapText="1"/>
    </xf>
    <xf borderId="51" numFmtId="0" fontId="52" fillId="53" applyNumberFormat="0" applyFill="1" applyFont="1" applyBorder="1" applyAlignment="1" applyProtection="0">
      <alignment horizontal="right" vertical="top" wrapText="1"/>
    </xf>
    <xf borderId="0" numFmtId="0" fontId="53" fillId="54" applyNumberFormat="0" applyFill="1" applyFont="1" applyBorder="0" applyAlignment="1" applyProtection="0">
      <alignment horizontal="left" vertical="top" wrapText="1"/>
    </xf>
    <xf borderId="0" numFmtId="0" fontId="54" fillId="55" applyNumberFormat="0" applyFill="1" applyFont="1" applyBorder="0" applyAlignment="1" applyProtection="0">
      <alignment horizontal="center" vertical="top" wrapText="1"/>
    </xf>
    <xf borderId="0" numFmtId="0" fontId="55" fillId="56" applyNumberFormat="0" applyFill="1" applyFont="1" applyBorder="0" applyAlignment="1" applyProtection="0">
      <alignment horizontal="right" vertical="top" wrapText="1"/>
    </xf>
    <xf borderId="0" numFmtId="120" fontId="56" fillId="57" applyNumberFormat="1" applyFill="1" applyFont="1" applyBorder="0" applyAlignment="1" applyProtection="0">
      <alignment horizontal="right" vertical="top" wrapText="1"/>
    </xf>
    <xf borderId="0" numFmtId="121" fontId="57" fillId="58" applyNumberFormat="1" applyFill="1" applyFont="1" applyBorder="0" applyAlignment="1" applyProtection="0">
      <alignment horizontal="right" vertical="top" wrapText="1"/>
    </xf>
    <xf borderId="0" numFmtId="122" fontId="58" fillId="59" applyNumberFormat="1" applyFill="1" applyFont="1" applyBorder="0" applyAlignment="1" applyProtection="0">
      <alignment horizontal="left" vertical="top" wrapText="1"/>
    </xf>
    <xf borderId="0" numFmtId="123" fontId="59" fillId="60" applyNumberFormat="1" applyFill="1" applyFont="1" applyBorder="0" applyAlignment="1" applyProtection="0">
      <alignment horizontal="left" vertical="top" wrapText="1"/>
    </xf>
    <xf borderId="0" numFmtId="124" fontId="60" fillId="61" applyNumberFormat="1" applyFill="1" applyFont="1" applyBorder="0" applyAlignment="1" applyProtection="0">
      <alignment horizontal="right" vertical="top" wrapText="1"/>
    </xf>
    <xf borderId="0" numFmtId="125" fontId="61" fillId="62" applyNumberFormat="1" applyFill="1" applyFont="1" applyBorder="0" applyAlignment="1" applyProtection="0">
      <alignment horizontal="right" vertical="top" wrapText="1"/>
    </xf>
    <xf borderId="0" numFmtId="0" fontId="62" fillId="63" applyNumberFormat="0" applyFill="1" applyFont="1" applyBorder="0" applyAlignment="1" applyProtection="0">
      <alignment horizontal="left" vertical="top" wrapText="1"/>
    </xf>
    <xf borderId="0" numFmtId="0" fontId="63" fillId="64" applyNumberFormat="0" applyFill="1" applyFont="1" applyBorder="0" applyAlignment="1" applyProtection="0">
      <alignment horizontal="center" vertical="top" wrapText="1"/>
    </xf>
    <xf borderId="0" numFmtId="0" fontId="64" fillId="65" applyNumberFormat="0" applyFill="1" applyFont="1" applyBorder="0" applyAlignment="1" applyProtection="0">
      <alignment horizontal="right" vertical="top" wrapText="1"/>
    </xf>
    <xf borderId="0" numFmtId="126" fontId="65" fillId="66" applyNumberFormat="1" applyFill="1" applyFont="1" applyBorder="0" applyAlignment="1" applyProtection="0">
      <alignment horizontal="right" vertical="top" wrapText="1"/>
    </xf>
    <xf borderId="52" numFmtId="0" fontId="66" fillId="67" applyNumberFormat="0" applyFill="1" applyFont="1" applyBorder="1" applyAlignment="1" applyProtection="0">
      <alignment horizontal="left" vertical="top" wrapText="1"/>
    </xf>
    <xf borderId="53" numFmtId="0" fontId="67" fillId="68" applyNumberFormat="0" applyFill="1" applyFont="1" applyBorder="1" applyAlignment="1" applyProtection="0">
      <alignment horizontal="center" vertical="top" wrapText="1"/>
    </xf>
    <xf borderId="54" numFmtId="0" fontId="68" fillId="69" applyNumberFormat="0" applyFill="1" applyFont="1" applyBorder="1" applyAlignment="1" applyProtection="0">
      <alignment horizontal="right" vertical="top" wrapText="1"/>
    </xf>
    <xf borderId="55" numFmtId="0" fontId="69" fillId="70" applyNumberFormat="0" applyFill="1" applyFont="1" applyBorder="1" applyAlignment="1" applyProtection="0">
      <alignment horizontal="right" vertical="top" wrapText="1"/>
    </xf>
    <xf borderId="56" numFmtId="0" fontId="70" fillId="71" applyNumberFormat="0" applyFill="1" applyFont="1" applyBorder="1" applyAlignment="1" applyProtection="0">
      <alignment horizontal="right" vertical="top" wrapText="1"/>
    </xf>
    <xf borderId="57" numFmtId="0" fontId="71" fillId="72" applyNumberFormat="0" applyFill="1" applyFont="1" applyBorder="1" applyAlignment="1" applyProtection="0">
      <alignment horizontal="right" vertical="top" wrapText="1"/>
    </xf>
    <xf borderId="58" numFmtId="0" fontId="72" fillId="73" applyNumberFormat="0" applyFill="1" applyFont="1" applyBorder="1" applyAlignment="1" applyProtection="0">
      <alignment horizontal="right" vertical="top" wrapText="1"/>
    </xf>
    <xf borderId="0" numFmtId="0" fontId="73" fillId="74" applyNumberFormat="0" applyFill="1" applyFont="1" applyBorder="0" applyAlignment="1" applyProtection="0">
      <alignment horizontal="center" wrapText="1"/>
    </xf>
  </cellXfs>
  <cellStyles count="1">
    <cellStyle name="Normal" xfId="0"/>
  </cellStyles>
  <dxfs count="0"/>
  <tableStyles defaultTableStyle="TableStyleMedium9" defaultPivotStyle="PivotStyleLight16" count="0"/>
</styleSheet>
</file>

<file path=xl/_rels/workbook.xml.rels><?xml version="1.0" encoding="UTF-8"?><Relationships xmlns="http://schemas.openxmlformats.org/package/2006/relationships"><Relationship Target="worksheets/sheet1.xml" Type="http://schemas.openxmlformats.org/officeDocument/2006/relationships/worksheet" Id="rId4"/><Relationship Target="styles.xml" Type="http://schemas.openxmlformats.org/officeDocument/2006/relationships/styles" Id="rId5"/></Relationships>
</file>

<file path=xl/drawings/_rels/drawing1.xml.rels><?xml version="1.0" encoding="UTF-8"?><Relationships xmlns="http://schemas.openxmlformats.org/package/2006/relationships"><Relationship Target="../media/image1.jpeg" Type="http://schemas.openxmlformats.org/officeDocument/2006/relationships/image" Id="rId6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181100"/>
    <xdr:pic>
      <xdr:nvPicPr>
        <xdr:cNvPr id="2" name="" descr=""/>
        <xdr:cNvPicPr>
          <a:picLocks noChangeAspect="1" noSelect="1" noMove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?><Relationships xmlns="http://schemas.openxmlformats.org/package/2006/relationships"><Relationship Target="../drawings/drawing1.xml" Type="http://schemas.openxmlformats.org/officeDocument/2006/relationships/drawing" Id="rId7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pageSetUpPr fitToPage="1"/>
  </sheetPr>
  <dimension ref="A1:A211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10"/>
    <col min="2" max="2" bestFit="1" customWidth="1" width="10"/>
    <col min="3" max="3" bestFit="1" customWidth="1" width="13.2"/>
    <col min="4" max="4" bestFit="1" customWidth="1" width="60"/>
    <col min="5" max="5" bestFit="1" customWidth="1" width="8"/>
    <col min="6" max="6" bestFit="1" customWidth="1" width="13"/>
    <col min="7" max="7" bestFit="1" customWidth="1" width="13"/>
    <col min="8" max="8" bestFit="1" customWidth="1" width="13"/>
    <col min="9" max="9" bestFit="1" customWidth="1" width="13"/>
    <col min="10" max="10" bestFit="1" customWidth="1" width="13"/>
  </cols>
  <sheetData>
    <row r="1">
      <c r="A1" s="3"/>
      <c r="B1" s="3"/>
      <c r="C1" s="3"/>
      <c r="D1" s="3" t="inlineStr">
        <is>
          <t>Obra</t>
        </is>
      </c>
      <c r="E1" s="3" t="inlineStr">
        <is>
          <t>Bancos</t>
        </is>
      </c>
      <c r="F1" s="3"/>
      <c r="G1" s="3" t="inlineStr">
        <is>
          <t>B.D.I.</t>
        </is>
      </c>
      <c r="H1" s="3"/>
      <c r="I1" s="3" t="inlineStr">
        <is>
          <t>Encargos Sociais</t>
        </is>
      </c>
      <c r="J1" s="3"/>
    </row>
    <row customHeight="1" ht="80" r="2">
      <c r="A2" s="55"/>
      <c r="B2" s="55"/>
      <c r="C2" s="55"/>
      <c r="D2" s="55" t="inlineStr">
        <is>
          <t>CONSTRUÇÃO DO CENTRO MUNICIPAL DE IMUNIZAÇÃO</t>
        </is>
      </c>
      <c r="E2" s="55" t="inlineStr">
        <is>
          <t>SINAPI - 10/2022 - Mato Grosso
SBC - 11/2022 - Mato Grosso
SEDOP - 09/2022 - Pará
</t>
        </is>
      </c>
      <c r="F2" s="55"/>
      <c r="G2" s="55" t="inlineStr">
        <is>
          <t>22,88%</t>
        </is>
      </c>
      <c r="H2" s="55"/>
      <c r="I2" s="55" t="inlineStr">
        <is>
          <t>Não Desonerado: embutido nos preços unitário dos insumos de mão de obra, de acordo com as bases.</t>
        </is>
      </c>
      <c r="J2" s="55"/>
    </row>
    <row r="3">
      <c r="A3" s="4" t="inlineStr">
        <is>
          <t>Orçamento Sintético</t>
        </is>
      </c>
    </row>
    <row customHeight="1" ht="30" r="4">
      <c r="A4" s="5" t="inlineStr">
        <is>
          <t>Item</t>
        </is>
      </c>
      <c r="B4" s="7" t="inlineStr">
        <is>
          <t>Código</t>
        </is>
      </c>
      <c r="C4" s="5" t="inlineStr">
        <is>
          <t>Banco</t>
        </is>
      </c>
      <c r="D4" s="5" t="inlineStr">
        <is>
          <t>Descrição</t>
        </is>
      </c>
      <c r="E4" s="6" t="inlineStr">
        <is>
          <t>Und</t>
        </is>
      </c>
      <c r="F4" s="7" t="inlineStr">
        <is>
          <t>Quant.</t>
        </is>
      </c>
      <c r="G4" s="7" t="inlineStr">
        <is>
          <t>Valor Unit</t>
        </is>
      </c>
      <c r="H4" s="7" t="inlineStr">
        <is>
          <t>Valor Unit com BDI</t>
        </is>
      </c>
      <c r="I4" s="7" t="inlineStr">
        <is>
          <t>Total</t>
        </is>
      </c>
      <c r="J4" s="7" t="inlineStr">
        <is>
          <t>Peso (%)</t>
        </is>
      </c>
    </row>
    <row customHeight="1" ht="24" r="5">
      <c r="A5" s="8" t="inlineStr">
        <is>
          <t> 1 </t>
        </is>
      </c>
      <c r="B5" s="8"/>
      <c r="C5" s="8"/>
      <c r="D5" s="8" t="inlineStr">
        <is>
          <t>ADMINISTRAÇÃO LOCAL DA OBRA</t>
        </is>
      </c>
      <c r="E5" s="8"/>
      <c r="F5" s="10"/>
      <c r="G5" s="8"/>
      <c r="H5" s="8"/>
      <c r="I5" s="11" t="n">
        <v>11728.94</v>
      </c>
      <c r="J5" s="12" t="str">
        <f>i5 / 560563.81</f>
      </c>
    </row>
    <row customHeight="1" ht="24" r="6">
      <c r="A6" s="16" t="inlineStr">
        <is>
          <t> 1.1 </t>
        </is>
      </c>
      <c r="B6" s="18" t="inlineStr">
        <is>
          <t> PMPG CIV 050 </t>
        </is>
      </c>
      <c r="C6" s="16" t="inlineStr">
        <is>
          <t>Próprio</t>
        </is>
      </c>
      <c r="D6" s="16" t="inlineStr">
        <is>
          <t>ADMINISTRAÇÃO LOCAL DA OBRA - 6 MESES</t>
        </is>
      </c>
      <c r="E6" s="17" t="inlineStr">
        <is>
          <t>UN</t>
        </is>
      </c>
      <c r="F6" s="18" t="n">
        <v>1.0</v>
      </c>
      <c r="G6" s="19" t="n">
        <v>9545.04</v>
      </c>
      <c r="H6" s="19" t="str">
        <f>TRUNC(G6 * (1 + 22.88 / 100), 2)</f>
      </c>
      <c r="I6" s="19" t="str">
        <f>TRUNC(F6 * h6, 2)</f>
      </c>
      <c r="J6" s="20" t="str">
        <f>i6 / 560563.81</f>
      </c>
    </row>
    <row customHeight="1" ht="24" r="7">
      <c r="A7" s="8" t="inlineStr">
        <is>
          <t> 2 </t>
        </is>
      </c>
      <c r="B7" s="8"/>
      <c r="C7" s="8"/>
      <c r="D7" s="8" t="inlineStr">
        <is>
          <t>SERVIÇOS PRELIMINARES</t>
        </is>
      </c>
      <c r="E7" s="8"/>
      <c r="F7" s="10"/>
      <c r="G7" s="8"/>
      <c r="H7" s="8"/>
      <c r="I7" s="11" t="n">
        <v>44782.55</v>
      </c>
      <c r="J7" s="12" t="str">
        <f>i7 / 560563.81</f>
      </c>
    </row>
    <row customHeight="1" ht="24" r="8">
      <c r="A8" s="8" t="inlineStr">
        <is>
          <t> 2.1 </t>
        </is>
      </c>
      <c r="B8" s="8"/>
      <c r="C8" s="8"/>
      <c r="D8" s="8" t="inlineStr">
        <is>
          <t>MOVIMENTO DE TERRA</t>
        </is>
      </c>
      <c r="E8" s="8"/>
      <c r="F8" s="10"/>
      <c r="G8" s="8"/>
      <c r="H8" s="8"/>
      <c r="I8" s="11" t="n">
        <v>10069.5</v>
      </c>
      <c r="J8" s="12" t="str">
        <f>i8 / 560563.81</f>
      </c>
    </row>
    <row customHeight="1" ht="24" r="9">
      <c r="A9" s="16" t="inlineStr">
        <is>
          <t> 2.1.1 </t>
        </is>
      </c>
      <c r="B9" s="18" t="inlineStr">
        <is>
          <t> 79473 </t>
        </is>
      </c>
      <c r="C9" s="16" t="inlineStr">
        <is>
          <t>SINAPI</t>
        </is>
      </c>
      <c r="D9" s="16" t="inlineStr">
        <is>
          <t>CORTE E ATERRO COMPENSADO</t>
        </is>
      </c>
      <c r="E9" s="17" t="inlineStr">
        <is>
          <t>m³</t>
        </is>
      </c>
      <c r="F9" s="18" t="n">
        <v>150.0</v>
      </c>
      <c r="G9" s="19" t="n">
        <v>7.99</v>
      </c>
      <c r="H9" s="19" t="str">
        <f>TRUNC(G9 * (1 + 22.88 / 100), 2)</f>
      </c>
      <c r="I9" s="19" t="str">
        <f>TRUNC(F9 * h9, 2)</f>
      </c>
      <c r="J9" s="20" t="str">
        <f>i9 / 560563.81</f>
      </c>
    </row>
    <row customHeight="1" ht="24" r="10">
      <c r="A10" s="16" t="inlineStr">
        <is>
          <t> 2.1.2 </t>
        </is>
      </c>
      <c r="B10" s="18" t="inlineStr">
        <is>
          <t> 96995 </t>
        </is>
      </c>
      <c r="C10" s="16" t="inlineStr">
        <is>
          <t>SINAPI</t>
        </is>
      </c>
      <c r="D10" s="16" t="inlineStr">
        <is>
          <t>REATERRO MANUAL APILOADO COM SOQUETE. AF_10/2017</t>
        </is>
      </c>
      <c r="E10" s="17" t="inlineStr">
        <is>
          <t>m³</t>
        </is>
      </c>
      <c r="F10" s="18" t="n">
        <v>150.0</v>
      </c>
      <c r="G10" s="19" t="n">
        <v>46.65</v>
      </c>
      <c r="H10" s="19" t="str">
        <f>TRUNC(G10 * (1 + 22.88 / 100), 2)</f>
      </c>
      <c r="I10" s="19" t="str">
        <f>TRUNC(F10 * h10, 2)</f>
      </c>
      <c r="J10" s="20" t="str">
        <f>i10 / 560563.81</f>
      </c>
    </row>
    <row customHeight="1" ht="52" r="11">
      <c r="A11" s="16" t="inlineStr">
        <is>
          <t> 2.2 </t>
        </is>
      </c>
      <c r="B11" s="18" t="inlineStr">
        <is>
          <t> 97741 </t>
        </is>
      </c>
      <c r="C11" s="16" t="inlineStr">
        <is>
          <t>SINAPI</t>
        </is>
      </c>
      <c r="D11" s="16" t="inlineStr">
        <is>
          <t>KIT CAVALETE PARA MEDIÇÃO DE ÁGUA - ENTRADA INDIVIDUALIZADA, EM PVC DN 25 (¾), PARA 1 MEDIDOR  FORNECIMENTO E INSTALAÇÃO (EXCLUSIVE HIDRÔMETRO). AF_11/2016</t>
        </is>
      </c>
      <c r="E11" s="17" t="inlineStr">
        <is>
          <t>UN</t>
        </is>
      </c>
      <c r="F11" s="18" t="n">
        <v>1.0</v>
      </c>
      <c r="G11" s="19" t="n">
        <v>177.98</v>
      </c>
      <c r="H11" s="19" t="str">
        <f>TRUNC(G11 * (1 + 22.88 / 100), 2)</f>
      </c>
      <c r="I11" s="19" t="str">
        <f>TRUNC(F11 * h11, 2)</f>
      </c>
      <c r="J11" s="20" t="str">
        <f>i11 / 560563.81</f>
      </c>
    </row>
    <row customHeight="1" ht="39" r="12">
      <c r="A12" s="16" t="inlineStr">
        <is>
          <t> 2.3 </t>
        </is>
      </c>
      <c r="B12" s="18" t="inlineStr">
        <is>
          <t> 93212 </t>
        </is>
      </c>
      <c r="C12" s="16" t="inlineStr">
        <is>
          <t>SINAPI</t>
        </is>
      </c>
      <c r="D12" s="16" t="inlineStr">
        <is>
          <t>EXECUÇÃO DE SANITÁRIO E VESTIÁRIO EM CANTEIRO DE OBRA EM CHAPA DE MADEIRA COMPENSADA, NÃO INCLUSO MOBILIÁRIO. AF_02/2016</t>
        </is>
      </c>
      <c r="E12" s="17" t="inlineStr">
        <is>
          <t>m²</t>
        </is>
      </c>
      <c r="F12" s="18" t="n">
        <v>2.0</v>
      </c>
      <c r="G12" s="19" t="n">
        <v>1070.56</v>
      </c>
      <c r="H12" s="19" t="str">
        <f>TRUNC(G12 * (1 + 22.88 / 100), 2)</f>
      </c>
      <c r="I12" s="19" t="str">
        <f>TRUNC(F12 * h12, 2)</f>
      </c>
      <c r="J12" s="20" t="str">
        <f>i12 / 560563.81</f>
      </c>
    </row>
    <row customHeight="1" ht="24" r="13">
      <c r="A13" s="16" t="inlineStr">
        <is>
          <t> 2.4 </t>
        </is>
      </c>
      <c r="B13" s="18" t="inlineStr">
        <is>
          <t> 74209/001 </t>
        </is>
      </c>
      <c r="C13" s="16" t="inlineStr">
        <is>
          <t>SINAPI</t>
        </is>
      </c>
      <c r="D13" s="16" t="inlineStr">
        <is>
          <t>PLACA DE OBRA EM CHAPA DE ACO GALVANIZADO</t>
        </is>
      </c>
      <c r="E13" s="17" t="inlineStr">
        <is>
          <t>m²</t>
        </is>
      </c>
      <c r="F13" s="18" t="n">
        <v>4.0</v>
      </c>
      <c r="G13" s="19" t="n">
        <v>524.05</v>
      </c>
      <c r="H13" s="19" t="str">
        <f>TRUNC(G13 * (1 + 22.88 / 100), 2)</f>
      </c>
      <c r="I13" s="19" t="str">
        <f>TRUNC(F13 * h13, 2)</f>
      </c>
      <c r="J13" s="20" t="str">
        <f>i13 / 560563.81</f>
      </c>
    </row>
    <row customHeight="1" ht="39" r="14">
      <c r="A14" s="16" t="inlineStr">
        <is>
          <t> 2.5 </t>
        </is>
      </c>
      <c r="B14" s="18" t="inlineStr">
        <is>
          <t> 93584 </t>
        </is>
      </c>
      <c r="C14" s="16" t="inlineStr">
        <is>
          <t>SINAPI</t>
        </is>
      </c>
      <c r="D14" s="16" t="inlineStr">
        <is>
          <t>EXECUÇÃO DE DEPÓSITO EM CANTEIRO DE OBRA EM CHAPA DE MADEIRA COMPENSADA, NÃO INCLUSO MOBILIÁRIO. AF_04/2016</t>
        </is>
      </c>
      <c r="E14" s="17" t="inlineStr">
        <is>
          <t>m²</t>
        </is>
      </c>
      <c r="F14" s="18" t="n">
        <v>8.0</v>
      </c>
      <c r="G14" s="19" t="n">
        <v>952.92</v>
      </c>
      <c r="H14" s="19" t="str">
        <f>TRUNC(G14 * (1 + 22.88 / 100), 2)</f>
      </c>
      <c r="I14" s="19" t="str">
        <f>TRUNC(F14 * h14, 2)</f>
      </c>
      <c r="J14" s="20" t="str">
        <f>i14 / 560563.81</f>
      </c>
    </row>
    <row customHeight="1" ht="24" r="15">
      <c r="A15" s="16" t="inlineStr">
        <is>
          <t> 2.6 </t>
        </is>
      </c>
      <c r="B15" s="18" t="inlineStr">
        <is>
          <t> 98459 </t>
        </is>
      </c>
      <c r="C15" s="16" t="inlineStr">
        <is>
          <t>SINAPI</t>
        </is>
      </c>
      <c r="D15" s="16" t="inlineStr">
        <is>
          <t>TAPUME COM TELHA METÁLICA. AF_05/2018</t>
        </is>
      </c>
      <c r="E15" s="17" t="inlineStr">
        <is>
          <t>m²</t>
        </is>
      </c>
      <c r="F15" s="18" t="n">
        <v>100.0</v>
      </c>
      <c r="G15" s="19" t="n">
        <v>106.58</v>
      </c>
      <c r="H15" s="19" t="str">
        <f>TRUNC(G15 * (1 + 22.88 / 100), 2)</f>
      </c>
      <c r="I15" s="19" t="str">
        <f>TRUNC(F15 * h15, 2)</f>
      </c>
      <c r="J15" s="20" t="str">
        <f>i15 / 560563.81</f>
      </c>
    </row>
    <row customHeight="1" ht="39" r="16">
      <c r="A16" s="16" t="inlineStr">
        <is>
          <t> 2.7 </t>
        </is>
      </c>
      <c r="B16" s="18" t="inlineStr">
        <is>
          <t> 99059 </t>
        </is>
      </c>
      <c r="C16" s="16" t="inlineStr">
        <is>
          <t>SINAPI</t>
        </is>
      </c>
      <c r="D16" s="16" t="inlineStr">
        <is>
          <t>LOCACAO CONVENCIONAL DE OBRA, UTILIZANDO GABARITO DE TÁBUAS CORRIDAS PONTALETADAS A CADA 2,00M -  2 UTILIZAÇÕES. AF_10/2018</t>
        </is>
      </c>
      <c r="E16" s="17" t="inlineStr">
        <is>
          <t>M</t>
        </is>
      </c>
      <c r="F16" s="18" t="n">
        <v>70.38</v>
      </c>
      <c r="G16" s="19" t="n">
        <v>56.99</v>
      </c>
      <c r="H16" s="19" t="str">
        <f>TRUNC(G16 * (1 + 22.88 / 100), 2)</f>
      </c>
      <c r="I16" s="19" t="str">
        <f>TRUNC(F16 * h16, 2)</f>
      </c>
      <c r="J16" s="20" t="str">
        <f>i16 / 560563.81</f>
      </c>
    </row>
    <row customHeight="1" ht="52" r="17">
      <c r="A17" s="16" t="inlineStr">
        <is>
          <t> 2.8 </t>
        </is>
      </c>
      <c r="B17" s="18" t="inlineStr">
        <is>
          <t> PMPG-ELE-101528 </t>
        </is>
      </c>
      <c r="C17" s="16" t="inlineStr">
        <is>
          <t>Próprio</t>
        </is>
      </c>
      <c r="D17" s="16" t="inlineStr">
        <is>
          <t>ENTRADA DE ENERGIA ELÉTRICA, SUBTERRÂNEA, BIFÁSICA, COM CAIXA DE EMBUTIR, CABO DE 35 MM2 E DISJUNTOR DIN 100A (NÃO INCLUSA MURETA DE ALVENARIA). AF_07/2020_PS - Referência SINAPI (101528)</t>
        </is>
      </c>
      <c r="E17" s="17" t="inlineStr">
        <is>
          <t>UN</t>
        </is>
      </c>
      <c r="F17" s="18" t="n">
        <v>1.0</v>
      </c>
      <c r="G17" s="19" t="n">
        <v>1543.0</v>
      </c>
      <c r="H17" s="19" t="str">
        <f>TRUNC(G17 * (1 + 22.88 / 100), 2)</f>
      </c>
      <c r="I17" s="19" t="str">
        <f>TRUNC(F17 * h17, 2)</f>
      </c>
      <c r="J17" s="20" t="str">
        <f>i17 / 560563.81</f>
      </c>
    </row>
    <row customHeight="1" ht="24" r="18">
      <c r="A18" s="8" t="inlineStr">
        <is>
          <t> 3 </t>
        </is>
      </c>
      <c r="B18" s="8"/>
      <c r="C18" s="8"/>
      <c r="D18" s="8" t="inlineStr">
        <is>
          <t>ESTRUTURAS DE CONCRETO ARMADO</t>
        </is>
      </c>
      <c r="E18" s="8"/>
      <c r="F18" s="10"/>
      <c r="G18" s="8"/>
      <c r="H18" s="8"/>
      <c r="I18" s="11" t="n">
        <v>79072.82</v>
      </c>
      <c r="J18" s="12" t="str">
        <f>i18 / 560563.81</f>
      </c>
    </row>
    <row customHeight="1" ht="24" r="19">
      <c r="A19" s="8" t="inlineStr">
        <is>
          <t> 3.1 </t>
        </is>
      </c>
      <c r="B19" s="8"/>
      <c r="C19" s="8"/>
      <c r="D19" s="8" t="inlineStr">
        <is>
          <t>SAPATAS</t>
        </is>
      </c>
      <c r="E19" s="8"/>
      <c r="F19" s="10"/>
      <c r="G19" s="8"/>
      <c r="H19" s="8"/>
      <c r="I19" s="11" t="n">
        <v>8012.95</v>
      </c>
      <c r="J19" s="12" t="str">
        <f>i19 / 560563.81</f>
      </c>
    </row>
    <row customHeight="1" ht="26" r="20">
      <c r="A20" s="16" t="inlineStr">
        <is>
          <t> 3.1.1 </t>
        </is>
      </c>
      <c r="B20" s="18" t="inlineStr">
        <is>
          <t> 96546 </t>
        </is>
      </c>
      <c r="C20" s="16" t="inlineStr">
        <is>
          <t>SINAPI</t>
        </is>
      </c>
      <c r="D20" s="16" t="inlineStr">
        <is>
          <t>ARMAÇÃO DE BLOCO, VIGA BALDRAME OU SAPATA UTILIZANDO AÇO CA-50 DE 10 MM - MONTAGEM. AF_06/2017</t>
        </is>
      </c>
      <c r="E20" s="17" t="inlineStr">
        <is>
          <t>KG</t>
        </is>
      </c>
      <c r="F20" s="18" t="n">
        <v>137.27</v>
      </c>
      <c r="G20" s="19" t="n">
        <v>15.51</v>
      </c>
      <c r="H20" s="19" t="str">
        <f>TRUNC(G20 * (1 + 22.88 / 100), 2)</f>
      </c>
      <c r="I20" s="19" t="str">
        <f>TRUNC(F20 * h20, 2)</f>
      </c>
      <c r="J20" s="20" t="str">
        <f>i20 / 560563.81</f>
      </c>
    </row>
    <row customHeight="1" ht="39" r="21">
      <c r="A21" s="16" t="inlineStr">
        <is>
          <t> 3.1.2 </t>
        </is>
      </c>
      <c r="B21" s="18" t="inlineStr">
        <is>
          <t> 96522 </t>
        </is>
      </c>
      <c r="C21" s="16" t="inlineStr">
        <is>
          <t>SINAPI</t>
        </is>
      </c>
      <c r="D21" s="16" t="inlineStr">
        <is>
          <t>ESCAVAÇÃO MANUAL PARA BLOCO DE COROAMENTO OU SAPATA (SEM ESCAVAÇÃO PARA COLOCAÇÃO DE FÔRMAS). AF_06/2017</t>
        </is>
      </c>
      <c r="E21" s="17" t="inlineStr">
        <is>
          <t>m³</t>
        </is>
      </c>
      <c r="F21" s="18" t="n">
        <v>4.16</v>
      </c>
      <c r="G21" s="19" t="n">
        <v>138.7</v>
      </c>
      <c r="H21" s="19" t="str">
        <f>TRUNC(G21 * (1 + 22.88 / 100), 2)</f>
      </c>
      <c r="I21" s="19" t="str">
        <f>TRUNC(F21 * h21, 2)</f>
      </c>
      <c r="J21" s="20" t="str">
        <f>i21 / 560563.81</f>
      </c>
    </row>
    <row customHeight="1" ht="39" r="22">
      <c r="A22" s="16" t="inlineStr">
        <is>
          <t> 3.1.3 </t>
        </is>
      </c>
      <c r="B22" s="18" t="inlineStr">
        <is>
          <t> 100491 </t>
        </is>
      </c>
      <c r="C22" s="16" t="inlineStr">
        <is>
          <t>SINAPI</t>
        </is>
      </c>
      <c r="D22" s="16" t="inlineStr">
        <is>
          <t>ARGAMASSA TRAÇO 1:3 (EM VOLUME DE CIMENTO E AREIA MÉDIA ÚMIDA) COM ADIÇÃO DE IMPERMEABILIZANTE, PREPARO MECÂNICO COM BETONEIRA 600 L. AF_08/2019</t>
        </is>
      </c>
      <c r="E22" s="17" t="inlineStr">
        <is>
          <t>m³</t>
        </is>
      </c>
      <c r="F22" s="18" t="n">
        <v>4.16</v>
      </c>
      <c r="G22" s="19" t="n">
        <v>842.64</v>
      </c>
      <c r="H22" s="19" t="str">
        <f>TRUNC(G22 * (1 + 22.88 / 100), 2)</f>
      </c>
      <c r="I22" s="19" t="str">
        <f>TRUNC(F22 * h22, 2)</f>
      </c>
      <c r="J22" s="20" t="str">
        <f>i22 / 560563.81</f>
      </c>
    </row>
    <row customHeight="1" ht="39" r="23">
      <c r="A23" s="16" t="inlineStr">
        <is>
          <t> 3.1.4 </t>
        </is>
      </c>
      <c r="B23" s="18" t="inlineStr">
        <is>
          <t> 96617 </t>
        </is>
      </c>
      <c r="C23" s="16" t="inlineStr">
        <is>
          <t>SINAPI</t>
        </is>
      </c>
      <c r="D23" s="16" t="inlineStr">
        <is>
          <t>LASTRO DE CONCRETO MAGRO, APLICADO EM BLOCOS DE COROAMENTO OU SAPATAS, ESPESSURA DE 3 CM. AF_08/2017</t>
        </is>
      </c>
      <c r="E23" s="17" t="inlineStr">
        <is>
          <t>m²</t>
        </is>
      </c>
      <c r="F23" s="18" t="n">
        <v>15.24</v>
      </c>
      <c r="G23" s="19" t="n">
        <v>20.38</v>
      </c>
      <c r="H23" s="19" t="str">
        <f>TRUNC(G23 * (1 + 22.88 / 100), 2)</f>
      </c>
      <c r="I23" s="19" t="str">
        <f>TRUNC(F23 * h23, 2)</f>
      </c>
      <c r="J23" s="20" t="str">
        <f>i23 / 560563.81</f>
      </c>
    </row>
    <row customHeight="1" ht="24" r="24">
      <c r="A24" s="8" t="inlineStr">
        <is>
          <t> 3.2 </t>
        </is>
      </c>
      <c r="B24" s="8"/>
      <c r="C24" s="8"/>
      <c r="D24" s="8" t="inlineStr">
        <is>
          <t>VIGAS BALDRAME</t>
        </is>
      </c>
      <c r="E24" s="8"/>
      <c r="F24" s="10"/>
      <c r="G24" s="8"/>
      <c r="H24" s="8"/>
      <c r="I24" s="11" t="n">
        <v>11463.52</v>
      </c>
      <c r="J24" s="12" t="str">
        <f>i24 / 560563.81</f>
      </c>
    </row>
    <row customHeight="1" ht="26" r="25">
      <c r="A25" s="16" t="inlineStr">
        <is>
          <t> 3.2.1 </t>
        </is>
      </c>
      <c r="B25" s="18" t="inlineStr">
        <is>
          <t> 96546 </t>
        </is>
      </c>
      <c r="C25" s="16" t="inlineStr">
        <is>
          <t>SINAPI</t>
        </is>
      </c>
      <c r="D25" s="16" t="inlineStr">
        <is>
          <t>ARMAÇÃO DE BLOCO, VIGA BALDRAME OU SAPATA UTILIZANDO AÇO CA-50 DE 10 MM - MONTAGEM. AF_06/2017</t>
        </is>
      </c>
      <c r="E25" s="17" t="inlineStr">
        <is>
          <t>KG</t>
        </is>
      </c>
      <c r="F25" s="18" t="n">
        <v>231.9</v>
      </c>
      <c r="G25" s="19" t="n">
        <v>15.51</v>
      </c>
      <c r="H25" s="19" t="str">
        <f>TRUNC(G25 * (1 + 22.88 / 100), 2)</f>
      </c>
      <c r="I25" s="19" t="str">
        <f>TRUNC(F25 * h25, 2)</f>
      </c>
      <c r="J25" s="20" t="str">
        <f>i25 / 560563.81</f>
      </c>
    </row>
    <row customHeight="1" ht="26" r="26">
      <c r="A26" s="16" t="inlineStr">
        <is>
          <t> 3.2.2 </t>
        </is>
      </c>
      <c r="B26" s="18" t="inlineStr">
        <is>
          <t> 96526 </t>
        </is>
      </c>
      <c r="C26" s="16" t="inlineStr">
        <is>
          <t>SINAPI</t>
        </is>
      </c>
      <c r="D26" s="16" t="inlineStr">
        <is>
          <t>ESCAVAÇÃO MANUAL DE VALA PARA VIGA BALDRAME (SEM ESCAVAÇÃO PARA COLOCAÇÃO DE FÔRMAS). AF_06/2017</t>
        </is>
      </c>
      <c r="E26" s="17" t="inlineStr">
        <is>
          <t>m³</t>
        </is>
      </c>
      <c r="F26" s="18" t="n">
        <v>2.92</v>
      </c>
      <c r="G26" s="19" t="n">
        <v>279.99</v>
      </c>
      <c r="H26" s="19" t="str">
        <f>TRUNC(G26 * (1 + 22.88 / 100), 2)</f>
      </c>
      <c r="I26" s="19" t="str">
        <f>TRUNC(F26 * h26, 2)</f>
      </c>
      <c r="J26" s="20" t="str">
        <f>i26 / 560563.81</f>
      </c>
    </row>
    <row customHeight="1" ht="39" r="27">
      <c r="A27" s="16" t="inlineStr">
        <is>
          <t> 3.2.3 </t>
        </is>
      </c>
      <c r="B27" s="18" t="inlineStr">
        <is>
          <t> 92759 </t>
        </is>
      </c>
      <c r="C27" s="16" t="inlineStr">
        <is>
          <t>SINAPI</t>
        </is>
      </c>
      <c r="D27" s="16" t="inlineStr">
        <is>
          <t>ARMAÇÃO DE PILAR OU VIGA DE ESTRUTURA CONVENCIONAL DE CONCRETO ARMADO UTILIZANDO AÇO CA-60 DE 5,0 MM - MONTAGEM. AF_06/2022</t>
        </is>
      </c>
      <c r="E27" s="17" t="inlineStr">
        <is>
          <t>KG</t>
        </is>
      </c>
      <c r="F27" s="18" t="n">
        <v>121.03</v>
      </c>
      <c r="G27" s="19" t="n">
        <v>16.19</v>
      </c>
      <c r="H27" s="19" t="str">
        <f>TRUNC(G27 * (1 + 22.88 / 100), 2)</f>
      </c>
      <c r="I27" s="19" t="str">
        <f>TRUNC(F27 * h27, 2)</f>
      </c>
      <c r="J27" s="20" t="str">
        <f>i27 / 560563.81</f>
      </c>
    </row>
    <row customHeight="1" ht="39" r="28">
      <c r="A28" s="16" t="inlineStr">
        <is>
          <t> 3.2.4 </t>
        </is>
      </c>
      <c r="B28" s="18" t="inlineStr">
        <is>
          <t> 100491 </t>
        </is>
      </c>
      <c r="C28" s="16" t="inlineStr">
        <is>
          <t>SINAPI</t>
        </is>
      </c>
      <c r="D28" s="16" t="inlineStr">
        <is>
          <t>ARGAMASSA TRAÇO 1:3 (EM VOLUME DE CIMENTO E AREIA MÉDIA ÚMIDA) COM ADIÇÃO DE IMPERMEABILIZANTE, PREPARO MECÂNICO COM BETONEIRA 600 L. AF_08/2019</t>
        </is>
      </c>
      <c r="E28" s="17" t="inlineStr">
        <is>
          <t>m³</t>
        </is>
      </c>
      <c r="F28" s="18" t="n">
        <v>2.92</v>
      </c>
      <c r="G28" s="19" t="n">
        <v>842.64</v>
      </c>
      <c r="H28" s="19" t="str">
        <f>TRUNC(G28 * (1 + 22.88 / 100), 2)</f>
      </c>
      <c r="I28" s="19" t="str">
        <f>TRUNC(F28 * h28, 2)</f>
      </c>
      <c r="J28" s="20" t="str">
        <f>i28 / 560563.81</f>
      </c>
    </row>
    <row customHeight="1" ht="39" r="29">
      <c r="A29" s="16" t="inlineStr">
        <is>
          <t> 3.2.5 </t>
        </is>
      </c>
      <c r="B29" s="18" t="inlineStr">
        <is>
          <t> 94968 </t>
        </is>
      </c>
      <c r="C29" s="16" t="inlineStr">
        <is>
          <t>SINAPI</t>
        </is>
      </c>
      <c r="D29" s="16" t="inlineStr">
        <is>
          <t>CONCRETO MAGRO PARA LASTRO, TRAÇO 1:4,5:4,5 (EM MASSA SECA DE CIMENTO/ AREIA MÉDIA/ BRITA 1) - PREPARO MECÂNICO COM BETONEIRA 600 L. AF_05/2021</t>
        </is>
      </c>
      <c r="E29" s="17" t="inlineStr">
        <is>
          <t>m³</t>
        </is>
      </c>
      <c r="F29" s="18" t="n">
        <v>0.42</v>
      </c>
      <c r="G29" s="19" t="n">
        <v>437.18</v>
      </c>
      <c r="H29" s="19" t="str">
        <f>TRUNC(G29 * (1 + 22.88 / 100), 2)</f>
      </c>
      <c r="I29" s="19" t="str">
        <f>TRUNC(F29 * h29, 2)</f>
      </c>
      <c r="J29" s="20" t="str">
        <f>i29 / 560563.81</f>
      </c>
    </row>
    <row customHeight="1" ht="26" r="30">
      <c r="A30" s="16" t="inlineStr">
        <is>
          <t> 3.2.6 </t>
        </is>
      </c>
      <c r="B30" s="18" t="inlineStr">
        <is>
          <t> 96545 </t>
        </is>
      </c>
      <c r="C30" s="16" t="inlineStr">
        <is>
          <t>SINAPI</t>
        </is>
      </c>
      <c r="D30" s="16" t="inlineStr">
        <is>
          <t>ARMAÇÃO DE BLOCO, VIGA BALDRAME OU SAPATA UTILIZANDO AÇO CA-50 DE 8 MM - MONTAGEM. AF_06/2017</t>
        </is>
      </c>
      <c r="E30" s="17" t="inlineStr">
        <is>
          <t>KG</t>
        </is>
      </c>
      <c r="F30" s="18" t="n">
        <v>18.12</v>
      </c>
      <c r="G30" s="19" t="n">
        <v>17.29</v>
      </c>
      <c r="H30" s="19" t="str">
        <f>TRUNC(G30 * (1 + 22.88 / 100), 2)</f>
      </c>
      <c r="I30" s="19" t="str">
        <f>TRUNC(F30 * h30, 2)</f>
      </c>
      <c r="J30" s="20" t="str">
        <f>i30 / 560563.81</f>
      </c>
    </row>
    <row customHeight="1" ht="24" r="31">
      <c r="A31" s="8" t="inlineStr">
        <is>
          <t> 3.3 </t>
        </is>
      </c>
      <c r="B31" s="8"/>
      <c r="C31" s="8"/>
      <c r="D31" s="8" t="inlineStr">
        <is>
          <t>PILARES</t>
        </is>
      </c>
      <c r="E31" s="8"/>
      <c r="F31" s="10"/>
      <c r="G31" s="8"/>
      <c r="H31" s="8"/>
      <c r="I31" s="11" t="n">
        <v>27635.13</v>
      </c>
      <c r="J31" s="12" t="str">
        <f>i31 / 560563.81</f>
      </c>
    </row>
    <row customHeight="1" ht="39" r="32">
      <c r="A32" s="16" t="inlineStr">
        <is>
          <t> 3.3.1 </t>
        </is>
      </c>
      <c r="B32" s="18" t="inlineStr">
        <is>
          <t> 92762 </t>
        </is>
      </c>
      <c r="C32" s="16" t="inlineStr">
        <is>
          <t>SINAPI</t>
        </is>
      </c>
      <c r="D32" s="16" t="inlineStr">
        <is>
          <t>ARMAÇÃO DE PILAR OU VIGA DE ESTRUTURA CONVENCIONAL DE CONCRETO ARMADO UTILIZANDO AÇO CA-50 DE 10,0 MM - MONTAGEM. AF_06/2022</t>
        </is>
      </c>
      <c r="E32" s="17" t="inlineStr">
        <is>
          <t>KG</t>
        </is>
      </c>
      <c r="F32" s="18" t="n">
        <v>387.64</v>
      </c>
      <c r="G32" s="19" t="n">
        <v>13.86</v>
      </c>
      <c r="H32" s="19" t="str">
        <f>TRUNC(G32 * (1 + 22.88 / 100), 2)</f>
      </c>
      <c r="I32" s="19" t="str">
        <f>TRUNC(F32 * h32, 2)</f>
      </c>
      <c r="J32" s="20" t="str">
        <f>i32 / 560563.81</f>
      </c>
    </row>
    <row customHeight="1" ht="39" r="33">
      <c r="A33" s="16" t="inlineStr">
        <is>
          <t> 3.3.2 </t>
        </is>
      </c>
      <c r="B33" s="18" t="inlineStr">
        <is>
          <t> 92761 </t>
        </is>
      </c>
      <c r="C33" s="16" t="inlineStr">
        <is>
          <t>SINAPI</t>
        </is>
      </c>
      <c r="D33" s="16" t="inlineStr">
        <is>
          <t>ARMAÇÃO DE PILAR OU VIGA DE ESTRUTURA CONVENCIONAL DE CONCRETO ARMADO UTILIZANDO AÇO CA-50 DE 8,0 MM - MONTAGEM. AF_06/2022</t>
        </is>
      </c>
      <c r="E33" s="17" t="inlineStr">
        <is>
          <t>KG</t>
        </is>
      </c>
      <c r="F33" s="18" t="n">
        <v>43.79</v>
      </c>
      <c r="G33" s="19" t="n">
        <v>15.3</v>
      </c>
      <c r="H33" s="19" t="str">
        <f>TRUNC(G33 * (1 + 22.88 / 100), 2)</f>
      </c>
      <c r="I33" s="19" t="str">
        <f>TRUNC(F33 * h33, 2)</f>
      </c>
      <c r="J33" s="20" t="str">
        <f>i33 / 560563.81</f>
      </c>
    </row>
    <row customHeight="1" ht="39" r="34">
      <c r="A34" s="16" t="inlineStr">
        <is>
          <t> 3.3.3 </t>
        </is>
      </c>
      <c r="B34" s="18" t="inlineStr">
        <is>
          <t> 92759 </t>
        </is>
      </c>
      <c r="C34" s="16" t="inlineStr">
        <is>
          <t>SINAPI</t>
        </is>
      </c>
      <c r="D34" s="16" t="inlineStr">
        <is>
          <t>ARMAÇÃO DE PILAR OU VIGA DE ESTRUTURA CONVENCIONAL DE CONCRETO ARMADO UTILIZANDO AÇO CA-60 DE 5,0 MM - MONTAGEM. AF_06/2022</t>
        </is>
      </c>
      <c r="E34" s="17" t="inlineStr">
        <is>
          <t>KG</t>
        </is>
      </c>
      <c r="F34" s="18" t="n">
        <v>105.8</v>
      </c>
      <c r="G34" s="19" t="n">
        <v>16.19</v>
      </c>
      <c r="H34" s="19" t="str">
        <f>TRUNC(G34 * (1 + 22.88 / 100), 2)</f>
      </c>
      <c r="I34" s="19" t="str">
        <f>TRUNC(F34 * h34, 2)</f>
      </c>
      <c r="J34" s="20" t="str">
        <f>i34 / 560563.81</f>
      </c>
    </row>
    <row customHeight="1" ht="52" r="35">
      <c r="A35" s="16" t="inlineStr">
        <is>
          <t> 3.3.4 </t>
        </is>
      </c>
      <c r="B35" s="18" t="inlineStr">
        <is>
          <t> 92431 </t>
        </is>
      </c>
      <c r="C35" s="16" t="inlineStr">
        <is>
          <t>SINAPI</t>
        </is>
      </c>
      <c r="D35" s="16" t="inlineStr">
        <is>
          <t>MONTAGEM E DESMONTAGEM DE FÔRMA DE PILARES RETANGULARES E ESTRUTURAS SIMILARES, PÉ-DIREITO SIMPLES, EM CHAPA DE MADEIRA COMPENSADA PLASTIFICADA, 10 UTILIZAÇÕES. AF_09/2020</t>
        </is>
      </c>
      <c r="E35" s="17" t="inlineStr">
        <is>
          <t>m²</t>
        </is>
      </c>
      <c r="F35" s="18" t="n">
        <v>131.0</v>
      </c>
      <c r="G35" s="19" t="n">
        <v>66.6</v>
      </c>
      <c r="H35" s="19" t="str">
        <f>TRUNC(G35 * (1 + 22.88 / 100), 2)</f>
      </c>
      <c r="I35" s="19" t="str">
        <f>TRUNC(F35 * h35, 2)</f>
      </c>
      <c r="J35" s="20" t="str">
        <f>i35 / 560563.81</f>
      </c>
    </row>
    <row customHeight="1" ht="39" r="36">
      <c r="A36" s="16" t="inlineStr">
        <is>
          <t> 3.3.5 </t>
        </is>
      </c>
      <c r="B36" s="18" t="inlineStr">
        <is>
          <t> 103669 </t>
        </is>
      </c>
      <c r="C36" s="16" t="inlineStr">
        <is>
          <t>SINAPI</t>
        </is>
      </c>
      <c r="D36" s="16" t="inlineStr">
        <is>
          <t>CONCRETAGEM DE PILARES, FCK = 25 MPA,  COM USO DE BALDES - LANÇAMENTO, ADENSAMENTO E ACABAMENTO. AF_02/2022</t>
        </is>
      </c>
      <c r="E36" s="17" t="inlineStr">
        <is>
          <t>m³</t>
        </is>
      </c>
      <c r="F36" s="18" t="n">
        <v>5.77</v>
      </c>
      <c r="G36" s="19" t="n">
        <v>1041.77</v>
      </c>
      <c r="H36" s="19" t="str">
        <f>TRUNC(G36 * (1 + 22.88 / 100), 2)</f>
      </c>
      <c r="I36" s="19" t="str">
        <f>TRUNC(F36 * h36, 2)</f>
      </c>
      <c r="J36" s="20" t="str">
        <f>i36 / 560563.81</f>
      </c>
    </row>
    <row customHeight="1" ht="24" r="37">
      <c r="A37" s="8" t="inlineStr">
        <is>
          <t> 3.4 </t>
        </is>
      </c>
      <c r="B37" s="8"/>
      <c r="C37" s="8"/>
      <c r="D37" s="8" t="inlineStr">
        <is>
          <t>VIGAS</t>
        </is>
      </c>
      <c r="E37" s="8"/>
      <c r="F37" s="10"/>
      <c r="G37" s="8"/>
      <c r="H37" s="8"/>
      <c r="I37" s="11" t="n">
        <v>22106.58</v>
      </c>
      <c r="J37" s="12" t="str">
        <f>i37 / 560563.81</f>
      </c>
    </row>
    <row customHeight="1" ht="39" r="38">
      <c r="A38" s="16" t="inlineStr">
        <is>
          <t> 3.4.1 </t>
        </is>
      </c>
      <c r="B38" s="18" t="inlineStr">
        <is>
          <t> 92762 </t>
        </is>
      </c>
      <c r="C38" s="16" t="inlineStr">
        <is>
          <t>SINAPI</t>
        </is>
      </c>
      <c r="D38" s="16" t="inlineStr">
        <is>
          <t>ARMAÇÃO DE PILAR OU VIGA DE ESTRUTURA CONVENCIONAL DE CONCRETO ARMADO UTILIZANDO AÇO CA-50 DE 10,0 MM - MONTAGEM. AF_06/2022</t>
        </is>
      </c>
      <c r="E38" s="17" t="inlineStr">
        <is>
          <t>KG</t>
        </is>
      </c>
      <c r="F38" s="18" t="n">
        <v>94.9</v>
      </c>
      <c r="G38" s="19" t="n">
        <v>13.86</v>
      </c>
      <c r="H38" s="19" t="str">
        <f>TRUNC(G38 * (1 + 22.88 / 100), 2)</f>
      </c>
      <c r="I38" s="19" t="str">
        <f>TRUNC(F38 * h38, 2)</f>
      </c>
      <c r="J38" s="20" t="str">
        <f>i38 / 560563.81</f>
      </c>
    </row>
    <row customHeight="1" ht="39" r="39">
      <c r="A39" s="16" t="inlineStr">
        <is>
          <t> 3.4.2 </t>
        </is>
      </c>
      <c r="B39" s="18" t="inlineStr">
        <is>
          <t> 92761 </t>
        </is>
      </c>
      <c r="C39" s="16" t="inlineStr">
        <is>
          <t>SINAPI</t>
        </is>
      </c>
      <c r="D39" s="16" t="inlineStr">
        <is>
          <t>ARMAÇÃO DE PILAR OU VIGA DE ESTRUTURA CONVENCIONAL DE CONCRETO ARMADO UTILIZANDO AÇO CA-50 DE 8,0 MM - MONTAGEM. AF_06/2022</t>
        </is>
      </c>
      <c r="E39" s="17" t="inlineStr">
        <is>
          <t>KG</t>
        </is>
      </c>
      <c r="F39" s="18" t="n">
        <v>165.84</v>
      </c>
      <c r="G39" s="19" t="n">
        <v>15.3</v>
      </c>
      <c r="H39" s="19" t="str">
        <f>TRUNC(G39 * (1 + 22.88 / 100), 2)</f>
      </c>
      <c r="I39" s="19" t="str">
        <f>TRUNC(F39 * h39, 2)</f>
      </c>
      <c r="J39" s="20" t="str">
        <f>i39 / 560563.81</f>
      </c>
    </row>
    <row customHeight="1" ht="39" r="40">
      <c r="A40" s="16" t="inlineStr">
        <is>
          <t> 3.4.3 </t>
        </is>
      </c>
      <c r="B40" s="18" t="inlineStr">
        <is>
          <t> 92759 </t>
        </is>
      </c>
      <c r="C40" s="16" t="inlineStr">
        <is>
          <t>SINAPI</t>
        </is>
      </c>
      <c r="D40" s="16" t="inlineStr">
        <is>
          <t>ARMAÇÃO DE PILAR OU VIGA DE ESTRUTURA CONVENCIONAL DE CONCRETO ARMADO UTILIZANDO AÇO CA-60 DE 5,0 MM - MONTAGEM. AF_06/2022</t>
        </is>
      </c>
      <c r="E40" s="17" t="inlineStr">
        <is>
          <t>KG</t>
        </is>
      </c>
      <c r="F40" s="18" t="n">
        <v>80.0</v>
      </c>
      <c r="G40" s="19" t="n">
        <v>16.19</v>
      </c>
      <c r="H40" s="19" t="str">
        <f>TRUNC(G40 * (1 + 22.88 / 100), 2)</f>
      </c>
      <c r="I40" s="19" t="str">
        <f>TRUNC(F40 * h40, 2)</f>
      </c>
      <c r="J40" s="20" t="str">
        <f>i40 / 560563.81</f>
      </c>
    </row>
    <row customHeight="1" ht="39" r="41">
      <c r="A41" s="16" t="inlineStr">
        <is>
          <t> 3.4.4 </t>
        </is>
      </c>
      <c r="B41" s="18" t="inlineStr">
        <is>
          <t> 92447 </t>
        </is>
      </c>
      <c r="C41" s="16" t="inlineStr">
        <is>
          <t>SINAPI</t>
        </is>
      </c>
      <c r="D41" s="16" t="inlineStr">
        <is>
          <t>MONTAGEM E DESMONTAGEM DE FÔRMA DE VIGA, ESCORAMENTO COM PONTALETE DE MADEIRA, PÉ-DIREITO SIMPLES, EM MADEIRA SERRADA, 2 UTILIZAÇÕES. AF_09/2020</t>
        </is>
      </c>
      <c r="E41" s="17" t="inlineStr">
        <is>
          <t>m²</t>
        </is>
      </c>
      <c r="F41" s="18" t="n">
        <v>41.26</v>
      </c>
      <c r="G41" s="19" t="n">
        <v>202.35</v>
      </c>
      <c r="H41" s="19" t="str">
        <f>TRUNC(G41 * (1 + 22.88 / 100), 2)</f>
      </c>
      <c r="I41" s="19" t="str">
        <f>TRUNC(F41 * h41, 2)</f>
      </c>
      <c r="J41" s="20" t="str">
        <f>i41 / 560563.81</f>
      </c>
    </row>
    <row customHeight="1" ht="52" r="42">
      <c r="A42" s="16" t="inlineStr">
        <is>
          <t> 3.4.5 </t>
        </is>
      </c>
      <c r="B42" s="18" t="inlineStr">
        <is>
          <t> 103682 </t>
        </is>
      </c>
      <c r="C42" s="16" t="inlineStr">
        <is>
          <t>SINAPI</t>
        </is>
      </c>
      <c r="D42" s="16" t="inlineStr">
        <is>
          <t>CONCRETAGEM DE VIGAS E LAJES, FCK=25 MPA, PARA QUALQUER TIPO DE LAJE COM BALDES EM EDIFICAÇÃO TÉRREA - LANÇAMENTO, ADENSAMENTO E ACABAMENTO. AF_02/2022</t>
        </is>
      </c>
      <c r="E42" s="17" t="inlineStr">
        <is>
          <t>m³</t>
        </is>
      </c>
      <c r="F42" s="18" t="n">
        <v>4.25</v>
      </c>
      <c r="G42" s="19" t="n">
        <v>1057.48</v>
      </c>
      <c r="H42" s="19" t="str">
        <f>TRUNC(G42 * (1 + 22.88 / 100), 2)</f>
      </c>
      <c r="I42" s="19" t="str">
        <f>TRUNC(F42 * h42, 2)</f>
      </c>
      <c r="J42" s="20" t="str">
        <f>i42 / 560563.81</f>
      </c>
    </row>
    <row customHeight="1" ht="24" r="43">
      <c r="A43" s="8" t="inlineStr">
        <is>
          <t> 3.5 </t>
        </is>
      </c>
      <c r="B43" s="8"/>
      <c r="C43" s="8"/>
      <c r="D43" s="8" t="inlineStr">
        <is>
          <t>VERGAS E CONTRAVERGAS</t>
        </is>
      </c>
      <c r="E43" s="8"/>
      <c r="F43" s="10"/>
      <c r="G43" s="8"/>
      <c r="H43" s="8"/>
      <c r="I43" s="11" t="n">
        <v>5948.64</v>
      </c>
      <c r="J43" s="12" t="str">
        <f>i43 / 560563.81</f>
      </c>
    </row>
    <row customHeight="1" ht="26" r="44">
      <c r="A44" s="16" t="inlineStr">
        <is>
          <t> 3.5.1 </t>
        </is>
      </c>
      <c r="B44" s="18" t="inlineStr">
        <is>
          <t> 93188 </t>
        </is>
      </c>
      <c r="C44" s="16" t="inlineStr">
        <is>
          <t>SINAPI</t>
        </is>
      </c>
      <c r="D44" s="16" t="inlineStr">
        <is>
          <t>VERGA MOLDADA IN LOCO EM CONCRETO PARA PORTAS COM ATÉ 1,5 M DE VÃO. AF_03/2016</t>
        </is>
      </c>
      <c r="E44" s="17" t="inlineStr">
        <is>
          <t>M</t>
        </is>
      </c>
      <c r="F44" s="18" t="n">
        <v>10.97</v>
      </c>
      <c r="G44" s="19" t="n">
        <v>88.76</v>
      </c>
      <c r="H44" s="19" t="str">
        <f>TRUNC(G44 * (1 + 22.88 / 100), 2)</f>
      </c>
      <c r="I44" s="19" t="str">
        <f>TRUNC(F44 * h44, 2)</f>
      </c>
      <c r="J44" s="20" t="str">
        <f>i44 / 560563.81</f>
      </c>
    </row>
    <row customHeight="1" ht="26" r="45">
      <c r="A45" s="16" t="inlineStr">
        <is>
          <t> 3.5.2 </t>
        </is>
      </c>
      <c r="B45" s="18" t="inlineStr">
        <is>
          <t> 93189 </t>
        </is>
      </c>
      <c r="C45" s="16" t="inlineStr">
        <is>
          <t>SINAPI</t>
        </is>
      </c>
      <c r="D45" s="16" t="inlineStr">
        <is>
          <t>VERGA MOLDADA IN LOCO EM CONCRETO PARA PORTAS COM MAIS DE 1,5 M DE VÃO. AF_03/2016</t>
        </is>
      </c>
      <c r="E45" s="17" t="inlineStr">
        <is>
          <t>M</t>
        </is>
      </c>
      <c r="F45" s="18" t="n">
        <v>3.0</v>
      </c>
      <c r="G45" s="19" t="n">
        <v>107.11</v>
      </c>
      <c r="H45" s="19" t="str">
        <f>TRUNC(G45 * (1 + 22.88 / 100), 2)</f>
      </c>
      <c r="I45" s="19" t="str">
        <f>TRUNC(F45 * h45, 2)</f>
      </c>
      <c r="J45" s="20" t="str">
        <f>i45 / 560563.81</f>
      </c>
    </row>
    <row customHeight="1" ht="26" r="46">
      <c r="A46" s="16" t="inlineStr">
        <is>
          <t> 3.5.3 </t>
        </is>
      </c>
      <c r="B46" s="18" t="inlineStr">
        <is>
          <t> 93186 </t>
        </is>
      </c>
      <c r="C46" s="16" t="inlineStr">
        <is>
          <t>SINAPI</t>
        </is>
      </c>
      <c r="D46" s="16" t="inlineStr">
        <is>
          <t>VERGA MOLDADA IN LOCO EM CONCRETO PARA JANELAS COM ATÉ 1,5 M DE VÃO. AF_03/2016</t>
        </is>
      </c>
      <c r="E46" s="17" t="inlineStr">
        <is>
          <t>M</t>
        </is>
      </c>
      <c r="F46" s="18" t="n">
        <v>19.66</v>
      </c>
      <c r="G46" s="19" t="n">
        <v>92.24</v>
      </c>
      <c r="H46" s="19" t="str">
        <f>TRUNC(G46 * (1 + 22.88 / 100), 2)</f>
      </c>
      <c r="I46" s="19" t="str">
        <f>TRUNC(F46 * h46, 2)</f>
      </c>
      <c r="J46" s="20" t="str">
        <f>i46 / 560563.81</f>
      </c>
    </row>
    <row customHeight="1" ht="26" r="47">
      <c r="A47" s="16" t="inlineStr">
        <is>
          <t> 3.5.4 </t>
        </is>
      </c>
      <c r="B47" s="18" t="inlineStr">
        <is>
          <t> 93196 </t>
        </is>
      </c>
      <c r="C47" s="16" t="inlineStr">
        <is>
          <t>SINAPI</t>
        </is>
      </c>
      <c r="D47" s="16" t="inlineStr">
        <is>
          <t>CONTRAVERGA MOLDADA IN LOCO EM CONCRETO PARA VÃOS DE ATÉ 1,5 M DE COMPRIMENTO. AF_03/2016</t>
        </is>
      </c>
      <c r="E47" s="17" t="inlineStr">
        <is>
          <t>M</t>
        </is>
      </c>
      <c r="F47" s="18" t="n">
        <v>19.66</v>
      </c>
      <c r="G47" s="19" t="n">
        <v>88.14</v>
      </c>
      <c r="H47" s="19" t="str">
        <f>TRUNC(G47 * (1 + 22.88 / 100), 2)</f>
      </c>
      <c r="I47" s="19" t="str">
        <f>TRUNC(F47 * h47, 2)</f>
      </c>
      <c r="J47" s="20" t="str">
        <f>i47 / 560563.81</f>
      </c>
    </row>
    <row customHeight="1" ht="24" r="48">
      <c r="A48" s="8" t="inlineStr">
        <is>
          <t> 3.6 </t>
        </is>
      </c>
      <c r="B48" s="8"/>
      <c r="C48" s="8"/>
      <c r="D48" s="8" t="inlineStr">
        <is>
          <t>LAJE TRELIÇADA</t>
        </is>
      </c>
      <c r="E48" s="8"/>
      <c r="F48" s="10"/>
      <c r="G48" s="8"/>
      <c r="H48" s="8"/>
      <c r="I48" s="11" t="n">
        <v>3906.0</v>
      </c>
      <c r="J48" s="12" t="str">
        <f>i48 / 560563.81</f>
      </c>
    </row>
    <row customHeight="1" ht="52" r="49">
      <c r="A49" s="16" t="inlineStr">
        <is>
          <t> 3.6.1 </t>
        </is>
      </c>
      <c r="B49" s="18" t="inlineStr">
        <is>
          <t> 101964 </t>
        </is>
      </c>
      <c r="C49" s="16" t="inlineStr">
        <is>
          <t>SINAPI</t>
        </is>
      </c>
      <c r="D49" s="16" t="inlineStr">
        <is>
          <t>LAJE PRÉ-MOLDADA UNIDIRECIONAL, BIAPOIADA, PARA FORRO, ENCHIMENTO EM CERÂMICA, VIGOTA CONVENCIONAL, ALTURA TOTAL DA LAJE (ENCHIMENTO+CAPA) = (8+3). AF_11/2020</t>
        </is>
      </c>
      <c r="E49" s="17" t="inlineStr">
        <is>
          <t>m²</t>
        </is>
      </c>
      <c r="F49" s="18" t="n">
        <v>16.09</v>
      </c>
      <c r="G49" s="19" t="n">
        <v>197.56</v>
      </c>
      <c r="H49" s="19" t="str">
        <f>TRUNC(G49 * (1 + 22.88 / 100), 2)</f>
      </c>
      <c r="I49" s="19" t="str">
        <f>TRUNC(F49 * h49, 2)</f>
      </c>
      <c r="J49" s="20" t="str">
        <f>i49 / 560563.81</f>
      </c>
    </row>
    <row customHeight="1" ht="24" r="50">
      <c r="A50" s="8" t="inlineStr">
        <is>
          <t> 4 </t>
        </is>
      </c>
      <c r="B50" s="8"/>
      <c r="C50" s="8"/>
      <c r="D50" s="8" t="inlineStr">
        <is>
          <t>ESTRUTURAS METÁLICAS</t>
        </is>
      </c>
      <c r="E50" s="8"/>
      <c r="F50" s="10"/>
      <c r="G50" s="8"/>
      <c r="H50" s="8"/>
      <c r="I50" s="11" t="n">
        <v>60865.81</v>
      </c>
      <c r="J50" s="12" t="str">
        <f>i50 / 560563.81</f>
      </c>
    </row>
    <row customHeight="1" ht="24" r="51">
      <c r="A51" s="8" t="inlineStr">
        <is>
          <t> 4.1 </t>
        </is>
      </c>
      <c r="B51" s="8"/>
      <c r="C51" s="8"/>
      <c r="D51" s="8" t="inlineStr">
        <is>
          <t>COBERTURA</t>
        </is>
      </c>
      <c r="E51" s="8"/>
      <c r="F51" s="10"/>
      <c r="G51" s="8"/>
      <c r="H51" s="8"/>
      <c r="I51" s="11" t="n">
        <v>48738.12</v>
      </c>
      <c r="J51" s="12" t="str">
        <f>i51 / 560563.81</f>
      </c>
    </row>
    <row customHeight="1" ht="39" r="52">
      <c r="A52" s="16" t="inlineStr">
        <is>
          <t> 4.1.1 </t>
        </is>
      </c>
      <c r="B52" s="18" t="inlineStr">
        <is>
          <t> 94216 </t>
        </is>
      </c>
      <c r="C52" s="16" t="inlineStr">
        <is>
          <t>SINAPI</t>
        </is>
      </c>
      <c r="D52" s="16" t="inlineStr">
        <is>
          <t>TELHAMENTO COM TELHA METÁLICA TERMOACÚSTICA E = 30 MM, COM ATÉ 2 ÁGUAS, INCLUSO IÇAMENTO. AF_07/2019</t>
        </is>
      </c>
      <c r="E52" s="17" t="inlineStr">
        <is>
          <t>m²</t>
        </is>
      </c>
      <c r="F52" s="18" t="n">
        <v>117.28</v>
      </c>
      <c r="G52" s="19" t="n">
        <v>184.78</v>
      </c>
      <c r="H52" s="19" t="str">
        <f>TRUNC(G52 * (1 + 22.88 / 100), 2)</f>
      </c>
      <c r="I52" s="19" t="str">
        <f>TRUNC(F52 * h52, 2)</f>
      </c>
      <c r="J52" s="20" t="str">
        <f>i52 / 560563.81</f>
      </c>
    </row>
    <row customHeight="1" ht="52" r="53">
      <c r="A53" s="16" t="inlineStr">
        <is>
          <t> 4.1.2 </t>
        </is>
      </c>
      <c r="B53" s="18" t="inlineStr">
        <is>
          <t> 92580 </t>
        </is>
      </c>
      <c r="C53" s="16" t="inlineStr">
        <is>
          <t>SINAPI</t>
        </is>
      </c>
      <c r="D53" s="16" t="inlineStr">
        <is>
          <t>TRAMA DE AÇO COMPOSTA POR TERÇAS PARA TELHADOS DE ATÉ 2 ÁGUAS PARA TELHA ONDULADA DE FIBROCIMENTO, METÁLICA, PLÁSTICA OU TERMOACÚSTICA, INCLUSO TRANSPORTE VERTICAL. AF_07/2019</t>
        </is>
      </c>
      <c r="E53" s="17" t="inlineStr">
        <is>
          <t>m²</t>
        </is>
      </c>
      <c r="F53" s="18" t="n">
        <v>117.28</v>
      </c>
      <c r="G53" s="19" t="n">
        <v>56.34</v>
      </c>
      <c r="H53" s="19" t="str">
        <f>TRUNC(G53 * (1 + 22.88 / 100), 2)</f>
      </c>
      <c r="I53" s="19" t="str">
        <f>TRUNC(F53 * h53, 2)</f>
      </c>
      <c r="J53" s="20" t="str">
        <f>i53 / 560563.81</f>
      </c>
    </row>
    <row customHeight="1" ht="39" r="54">
      <c r="A54" s="16" t="inlineStr">
        <is>
          <t> 4.1.3 </t>
        </is>
      </c>
      <c r="B54" s="18" t="inlineStr">
        <is>
          <t> 100377 </t>
        </is>
      </c>
      <c r="C54" s="16" t="inlineStr">
        <is>
          <t>SINAPI</t>
        </is>
      </c>
      <c r="D54" s="16" t="inlineStr">
        <is>
          <t>FABRICAÇÃO E INSTALAÇÃO DE TESOURA (INTEIRA OU MEIA) EM AÇO, VÃOS MAIORES OU IGUAIS A 3,0 M E MENORES OU IGUAL A 6,0 M, INCLUSO IÇAMENTO. AF_07/2019</t>
        </is>
      </c>
      <c r="E54" s="17" t="inlineStr">
        <is>
          <t>KG</t>
        </is>
      </c>
      <c r="F54" s="18" t="n">
        <v>786.7</v>
      </c>
      <c r="G54" s="19" t="n">
        <v>13.46</v>
      </c>
      <c r="H54" s="19" t="str">
        <f>TRUNC(G54 * (1 + 22.88 / 100), 2)</f>
      </c>
      <c r="I54" s="19" t="str">
        <f>TRUNC(F54 * h54, 2)</f>
      </c>
      <c r="J54" s="20" t="str">
        <f>i54 / 560563.81</f>
      </c>
    </row>
    <row customHeight="1" ht="39" r="55">
      <c r="A55" s="16" t="inlineStr">
        <is>
          <t> 4.1.4 </t>
        </is>
      </c>
      <c r="B55" s="18" t="inlineStr">
        <is>
          <t> PMPG EST 007 </t>
        </is>
      </c>
      <c r="C55" s="16" t="inlineStr">
        <is>
          <t>Próprio</t>
        </is>
      </c>
      <c r="D55" s="16" t="inlineStr">
        <is>
          <t>PINTURA COM TINTA ESMALTE SINTETICO STANDARD FOSCO PULVERIZADA SOBRE PERFIL METÁLICO EXECUTADO EM FÁBRICA (POR DEMÃO).</t>
        </is>
      </c>
      <c r="E55" s="17" t="inlineStr">
        <is>
          <t>m²</t>
        </is>
      </c>
      <c r="F55" s="18" t="n">
        <v>100.23</v>
      </c>
      <c r="G55" s="19" t="n">
        <v>8.01</v>
      </c>
      <c r="H55" s="19" t="str">
        <f>TRUNC(G55 * (1 + 22.88 / 100), 2)</f>
      </c>
      <c r="I55" s="19" t="str">
        <f>TRUNC(F55 * h55, 2)</f>
      </c>
      <c r="J55" s="20" t="str">
        <f>i55 / 560563.81</f>
      </c>
    </row>
    <row customHeight="1" ht="24" r="56">
      <c r="A56" s="8" t="inlineStr">
        <is>
          <t> 4.2 </t>
        </is>
      </c>
      <c r="B56" s="8"/>
      <c r="C56" s="8"/>
      <c r="D56" s="8" t="inlineStr">
        <is>
          <t>RUFO, PINGADEIRA E CALHA</t>
        </is>
      </c>
      <c r="E56" s="8"/>
      <c r="F56" s="10"/>
      <c r="G56" s="8"/>
      <c r="H56" s="8"/>
      <c r="I56" s="11" t="n">
        <v>12127.69</v>
      </c>
      <c r="J56" s="12" t="str">
        <f>i56 / 560563.81</f>
      </c>
    </row>
    <row customHeight="1" ht="26" r="57">
      <c r="A57" s="16" t="inlineStr">
        <is>
          <t> 4.2.1 </t>
        </is>
      </c>
      <c r="B57" s="18" t="inlineStr">
        <is>
          <t> 94231 </t>
        </is>
      </c>
      <c r="C57" s="16" t="inlineStr">
        <is>
          <t>SINAPI</t>
        </is>
      </c>
      <c r="D57" s="16" t="inlineStr">
        <is>
          <t>RUFO EM CHAPA DE AÇO GALVANIZADO NÚMERO 24, CORTE DE 25 CM, INCLUSO TRANSPORTE VERTICAL. AF_07/2019</t>
        </is>
      </c>
      <c r="E57" s="17" t="inlineStr">
        <is>
          <t>M</t>
        </is>
      </c>
      <c r="F57" s="18" t="n">
        <v>52.44</v>
      </c>
      <c r="G57" s="19" t="n">
        <v>59.69</v>
      </c>
      <c r="H57" s="19" t="str">
        <f>TRUNC(G57 * (1 + 22.88 / 100), 2)</f>
      </c>
      <c r="I57" s="19" t="str">
        <f>TRUNC(F57 * h57, 2)</f>
      </c>
      <c r="J57" s="20" t="str">
        <f>i57 / 560563.81</f>
      </c>
    </row>
    <row customHeight="1" ht="39" r="58">
      <c r="A58" s="16" t="inlineStr">
        <is>
          <t> 4.2.2 </t>
        </is>
      </c>
      <c r="B58" s="18" t="inlineStr">
        <is>
          <t> 100327 </t>
        </is>
      </c>
      <c r="C58" s="16" t="inlineStr">
        <is>
          <t>SINAPI</t>
        </is>
      </c>
      <c r="D58" s="16" t="inlineStr">
        <is>
          <t>RUFO EXTERNO/INTERNO EM CHAPA DE AÇO GALVANIZADO NÚMERO 26, CORTE DE 33 CM, INCLUSO IÇAMENTO. AF_07/2019</t>
        </is>
      </c>
      <c r="E58" s="17" t="inlineStr">
        <is>
          <t>M</t>
        </is>
      </c>
      <c r="F58" s="18" t="n">
        <v>64.61</v>
      </c>
      <c r="G58" s="19" t="n">
        <v>66.47</v>
      </c>
      <c r="H58" s="19" t="str">
        <f>TRUNC(G58 * (1 + 22.88 / 100), 2)</f>
      </c>
      <c r="I58" s="19" t="str">
        <f>TRUNC(F58 * h58, 2)</f>
      </c>
      <c r="J58" s="20" t="str">
        <f>i58 / 560563.81</f>
      </c>
    </row>
    <row customHeight="1" ht="39" r="59">
      <c r="A59" s="16" t="inlineStr">
        <is>
          <t> 4.2.3 </t>
        </is>
      </c>
      <c r="B59" s="18" t="inlineStr">
        <is>
          <t> 94228 </t>
        </is>
      </c>
      <c r="C59" s="16" t="inlineStr">
        <is>
          <t>SINAPI</t>
        </is>
      </c>
      <c r="D59" s="16" t="inlineStr">
        <is>
          <t>CALHA EM CHAPA DE AÇO GALVANIZADO NÚMERO 24, DESENVOLVIMENTO DE 50 CM, INCLUSO TRANSPORTE VERTICAL. AF_07/2019</t>
        </is>
      </c>
      <c r="E59" s="17" t="inlineStr">
        <is>
          <t>M</t>
        </is>
      </c>
      <c r="F59" s="18" t="n">
        <v>18.16</v>
      </c>
      <c r="G59" s="19" t="n">
        <v>98.09</v>
      </c>
      <c r="H59" s="19" t="str">
        <f>TRUNC(G59 * (1 + 22.88 / 100), 2)</f>
      </c>
      <c r="I59" s="19" t="str">
        <f>TRUNC(F59 * h59, 2)</f>
      </c>
      <c r="J59" s="20" t="str">
        <f>i59 / 560563.81</f>
      </c>
    </row>
    <row customHeight="1" ht="39" r="60">
      <c r="A60" s="16" t="inlineStr">
        <is>
          <t> 4.2.4 </t>
        </is>
      </c>
      <c r="B60" s="18" t="inlineStr">
        <is>
          <t> 94227 </t>
        </is>
      </c>
      <c r="C60" s="16" t="inlineStr">
        <is>
          <t>SINAPI</t>
        </is>
      </c>
      <c r="D60" s="16" t="inlineStr">
        <is>
          <t>CALHA EM CHAPA DE AÇO GALVANIZADO NÚMERO 24, DESENVOLVIMENTO DE 33 CM, INCLUSO TRANSPORTE VERTICAL. AF_07/2019</t>
        </is>
      </c>
      <c r="E60" s="17" t="inlineStr">
        <is>
          <t>M</t>
        </is>
      </c>
      <c r="F60" s="18" t="n">
        <v>9.12</v>
      </c>
      <c r="G60" s="19" t="n">
        <v>72.84</v>
      </c>
      <c r="H60" s="19" t="str">
        <f>TRUNC(G60 * (1 + 22.88 / 100), 2)</f>
      </c>
      <c r="I60" s="19" t="str">
        <f>TRUNC(F60 * h60, 2)</f>
      </c>
      <c r="J60" s="20" t="str">
        <f>i60 / 560563.81</f>
      </c>
    </row>
    <row customHeight="1" ht="24" r="61">
      <c r="A61" s="8" t="inlineStr">
        <is>
          <t> 5 </t>
        </is>
      </c>
      <c r="B61" s="8"/>
      <c r="C61" s="8"/>
      <c r="D61" s="8" t="inlineStr">
        <is>
          <t>FECHAMENTOS, REVESTIMENTOS E FACHADAS</t>
        </is>
      </c>
      <c r="E61" s="8"/>
      <c r="F61" s="10"/>
      <c r="G61" s="8"/>
      <c r="H61" s="8"/>
      <c r="I61" s="11" t="n">
        <v>154723.41</v>
      </c>
      <c r="J61" s="12" t="str">
        <f>i61 / 560563.81</f>
      </c>
    </row>
    <row customHeight="1" ht="24" r="62">
      <c r="A62" s="8" t="inlineStr">
        <is>
          <t> 5.1 </t>
        </is>
      </c>
      <c r="B62" s="8"/>
      <c r="C62" s="8"/>
      <c r="D62" s="8" t="inlineStr">
        <is>
          <t>ALVENARIA</t>
        </is>
      </c>
      <c r="E62" s="8"/>
      <c r="F62" s="10"/>
      <c r="G62" s="8"/>
      <c r="H62" s="8"/>
      <c r="I62" s="11" t="n">
        <v>73957.21</v>
      </c>
      <c r="J62" s="12" t="str">
        <f>i62 / 560563.81</f>
      </c>
    </row>
    <row customHeight="1" ht="24" r="63">
      <c r="A63" s="8" t="inlineStr">
        <is>
          <t> 5.1.1 </t>
        </is>
      </c>
      <c r="B63" s="8"/>
      <c r="C63" s="8"/>
      <c r="D63" s="8" t="inlineStr">
        <is>
          <t>REVESTIMENTO - EXTERNO</t>
        </is>
      </c>
      <c r="E63" s="8"/>
      <c r="F63" s="10"/>
      <c r="G63" s="8"/>
      <c r="H63" s="8"/>
      <c r="I63" s="11" t="n">
        <v>14883.69</v>
      </c>
      <c r="J63" s="12" t="str">
        <f>i63 / 560563.81</f>
      </c>
    </row>
    <row customHeight="1" ht="52" r="64">
      <c r="A64" s="16" t="inlineStr">
        <is>
          <t> 5.1.1.1 </t>
        </is>
      </c>
      <c r="B64" s="18" t="inlineStr">
        <is>
          <t> 87905 </t>
        </is>
      </c>
      <c r="C64" s="16" t="inlineStr">
        <is>
          <t>SINAPI</t>
        </is>
      </c>
      <c r="D64" s="16" t="inlineStr">
        <is>
          <t>CHAPISCO APLICADO EM ALVENARIA (COM PRESENÇA DE VÃOS) E ESTRUTURAS DE CONCRETO DE FACHADA, COM COLHER DE PEDREIRO.  ARGAMASSA TRAÇO 1:3 COM PREPARO EM BETONEIRA 400L. AF_06/2014</t>
        </is>
      </c>
      <c r="E64" s="17" t="inlineStr">
        <is>
          <t>m²</t>
        </is>
      </c>
      <c r="F64" s="18" t="n">
        <v>204.25</v>
      </c>
      <c r="G64" s="19" t="n">
        <v>7.56</v>
      </c>
      <c r="H64" s="19" t="str">
        <f>TRUNC(G64 * (1 + 22.88 / 100), 2)</f>
      </c>
      <c r="I64" s="19" t="str">
        <f>TRUNC(F64 * h64, 2)</f>
      </c>
      <c r="J64" s="20" t="str">
        <f>i64 / 560563.81</f>
      </c>
    </row>
    <row customHeight="1" ht="52" r="65">
      <c r="A65" s="16" t="inlineStr">
        <is>
          <t> 5.1.1.2 </t>
        </is>
      </c>
      <c r="B65" s="18" t="inlineStr">
        <is>
          <t> 87775 </t>
        </is>
      </c>
      <c r="C65" s="16" t="inlineStr">
        <is>
          <t>SINAPI</t>
        </is>
      </c>
      <c r="D65" s="16" t="inlineStr">
        <is>
          <t>EMBOÇO OU MASSA ÚNICA EM ARGAMASSA TRAÇO 1:2:8, PREPARO MECÂNICO COM BETONEIRA 400 L, APLICADA MANUALMENTE EM PANOS DE FACHADA COM PRESENÇA DE VÃOS, ESPESSURA DE 25 MM. AF_08/2022</t>
        </is>
      </c>
      <c r="E65" s="17" t="inlineStr">
        <is>
          <t>m²</t>
        </is>
      </c>
      <c r="F65" s="18" t="n">
        <v>204.25</v>
      </c>
      <c r="G65" s="19" t="n">
        <v>51.75</v>
      </c>
      <c r="H65" s="19" t="str">
        <f>TRUNC(G65 * (1 + 22.88 / 100), 2)</f>
      </c>
      <c r="I65" s="19" t="str">
        <f>TRUNC(F65 * h65, 2)</f>
      </c>
      <c r="J65" s="20" t="str">
        <f>i65 / 560563.81</f>
      </c>
    </row>
    <row customHeight="1" ht="24" r="66">
      <c r="A66" s="8" t="inlineStr">
        <is>
          <t> 5.1.2 </t>
        </is>
      </c>
      <c r="B66" s="8"/>
      <c r="C66" s="8"/>
      <c r="D66" s="8" t="inlineStr">
        <is>
          <t>REVESTIMENTO - INTERNO</t>
        </is>
      </c>
      <c r="E66" s="8"/>
      <c r="F66" s="10"/>
      <c r="G66" s="8"/>
      <c r="H66" s="8"/>
      <c r="I66" s="11" t="n">
        <v>12263.4</v>
      </c>
      <c r="J66" s="12" t="str">
        <f>i66 / 560563.81</f>
      </c>
    </row>
    <row customHeight="1" ht="52" r="67">
      <c r="A67" s="16" t="inlineStr">
        <is>
          <t> 5.1.2.1 </t>
        </is>
      </c>
      <c r="B67" s="18" t="inlineStr">
        <is>
          <t> 87879 </t>
        </is>
      </c>
      <c r="C67" s="16" t="inlineStr">
        <is>
          <t>SINAPI</t>
        </is>
      </c>
      <c r="D67" s="16" t="inlineStr">
        <is>
          <t>CHAPISCO APLICADO EM ALVENARIAS E ESTRUTURAS DE CONCRETO INTERNAS, COM COLHER DE PEDREIRO.  ARGAMASSA TRAÇO 1:3 COM PREPARO EM BETONEIRA 400L. AF_06/2014</t>
        </is>
      </c>
      <c r="E67" s="17" t="inlineStr">
        <is>
          <t>m²</t>
        </is>
      </c>
      <c r="F67" s="18" t="n">
        <v>224.0</v>
      </c>
      <c r="G67" s="19" t="n">
        <v>4.38</v>
      </c>
      <c r="H67" s="19" t="str">
        <f>TRUNC(G67 * (1 + 22.88 / 100), 2)</f>
      </c>
      <c r="I67" s="19" t="str">
        <f>TRUNC(F67 * h67, 2)</f>
      </c>
      <c r="J67" s="20" t="str">
        <f>i67 / 560563.81</f>
      </c>
    </row>
    <row customHeight="1" ht="65" r="68">
      <c r="A68" s="16" t="inlineStr">
        <is>
          <t> 5.1.2.2 </t>
        </is>
      </c>
      <c r="B68" s="18" t="inlineStr">
        <is>
          <t> 87529 </t>
        </is>
      </c>
      <c r="C68" s="16" t="inlineStr">
        <is>
          <t>SINAPI</t>
        </is>
      </c>
      <c r="D68" s="16" t="inlineStr">
        <is>
          <t>MASSA ÚNICA, PARA RECEBIMENTO DE PINTURA, EM ARGAMASSA TRAÇO 1:2:8, PREPARO MECÂNICO COM BETONEIRA 400L, APLICADA MANUALMENTE EM FACES INTERNAS DE PAREDES, ESPESSURA DE 20MM, COM EXECUÇÃO DE TALISCAS. AF_06/2014</t>
        </is>
      </c>
      <c r="E68" s="17" t="inlineStr">
        <is>
          <t>m²</t>
        </is>
      </c>
      <c r="F68" s="18" t="n">
        <v>224.0</v>
      </c>
      <c r="G68" s="19" t="n">
        <v>36.6</v>
      </c>
      <c r="H68" s="19" t="str">
        <f>TRUNC(G68 * (1 + 22.88 / 100), 2)</f>
      </c>
      <c r="I68" s="19" t="str">
        <f>TRUNC(F68 * h68, 2)</f>
      </c>
      <c r="J68" s="20" t="str">
        <f>i68 / 560563.81</f>
      </c>
    </row>
    <row customHeight="1" ht="52" r="69">
      <c r="A69" s="16" t="inlineStr">
        <is>
          <t> 5.1.2.3 </t>
        </is>
      </c>
      <c r="B69" s="18" t="inlineStr">
        <is>
          <t> 87274 </t>
        </is>
      </c>
      <c r="C69" s="16" t="inlineStr">
        <is>
          <t>SINAPI</t>
        </is>
      </c>
      <c r="D69" s="16" t="inlineStr">
        <is>
          <t>REVESTIMENTO CERÂMICO PARA PAREDES INTERNAS COM PLACAS TIPO ESMALTADA EXTRA DE DIMENSÕES 33X45 CM APLICADAS EM AMBIENTES DE ÁREA MENOR QUE 5 M² A MEIA ALTURA DAS PAREDES. AF_06/2014</t>
        </is>
      </c>
      <c r="E69" s="17" t="inlineStr">
        <is>
          <t>m²</t>
        </is>
      </c>
      <c r="F69" s="18" t="n">
        <v>10.0</v>
      </c>
      <c r="G69" s="19" t="n">
        <v>80.16</v>
      </c>
      <c r="H69" s="19" t="str">
        <f>TRUNC(G69 * (1 + 22.88 / 100), 2)</f>
      </c>
      <c r="I69" s="19" t="str">
        <f>TRUNC(F69 * h69, 2)</f>
      </c>
      <c r="J69" s="20" t="str">
        <f>i69 / 560563.81</f>
      </c>
    </row>
    <row customHeight="1" ht="52" r="70">
      <c r="A70" s="16" t="inlineStr">
        <is>
          <t> 5.1.3 </t>
        </is>
      </c>
      <c r="B70" s="18" t="inlineStr">
        <is>
          <t> 103332 </t>
        </is>
      </c>
      <c r="C70" s="16" t="inlineStr">
        <is>
          <t>SINAPI</t>
        </is>
      </c>
      <c r="D70" s="16" t="inlineStr">
        <is>
          <t>ALVENARIA DE VEDAÇÃO DE BLOCOS CERÂMICOS FURADOS NA HORIZONTAL DE 9X14X19 CM (ESPESSURA 9 CM) E ARGAMASSA DE ASSENTAMENTO COM PREPARO EM BETONEIRA. AF_12/2021</t>
        </is>
      </c>
      <c r="E70" s="17" t="inlineStr">
        <is>
          <t>m²</t>
        </is>
      </c>
      <c r="F70" s="18" t="n">
        <v>315.05</v>
      </c>
      <c r="G70" s="19" t="n">
        <v>120.92</v>
      </c>
      <c r="H70" s="19" t="str">
        <f>TRUNC(G70 * (1 + 22.88 / 100), 2)</f>
      </c>
      <c r="I70" s="19" t="str">
        <f>TRUNC(F70 * h70, 2)</f>
      </c>
      <c r="J70" s="20" t="str">
        <f>i70 / 560563.81</f>
      </c>
    </row>
    <row customHeight="1" ht="24" r="71">
      <c r="A71" s="8" t="inlineStr">
        <is>
          <t> 5.2 </t>
        </is>
      </c>
      <c r="B71" s="8"/>
      <c r="C71" s="8"/>
      <c r="D71" s="8" t="inlineStr">
        <is>
          <t>DRYWALL</t>
        </is>
      </c>
      <c r="E71" s="8"/>
      <c r="F71" s="10"/>
      <c r="G71" s="8"/>
      <c r="H71" s="8"/>
      <c r="I71" s="11" t="n">
        <v>1372.39</v>
      </c>
      <c r="J71" s="12" t="str">
        <f>i71 / 560563.81</f>
      </c>
    </row>
    <row customHeight="1" ht="26" r="72">
      <c r="A72" s="16" t="inlineStr">
        <is>
          <t> 5.2.1 </t>
        </is>
      </c>
      <c r="B72" s="18" t="inlineStr">
        <is>
          <t> 090802 </t>
        </is>
      </c>
      <c r="C72" s="16" t="inlineStr">
        <is>
          <t>SBC</t>
        </is>
      </c>
      <c r="D72" s="16" t="inlineStr">
        <is>
          <t>PAREDE 95mm PAINEL GESSO ACARTONADO 12,5mm C/PERFIL MET.</t>
        </is>
      </c>
      <c r="E72" s="17" t="inlineStr">
        <is>
          <t>m²</t>
        </is>
      </c>
      <c r="F72" s="18" t="n">
        <v>10.45</v>
      </c>
      <c r="G72" s="19" t="n">
        <v>106.88</v>
      </c>
      <c r="H72" s="19" t="str">
        <f>TRUNC(G72 * (1 + 22.88 / 100), 2)</f>
      </c>
      <c r="I72" s="19" t="str">
        <f>TRUNC(F72 * h72, 2)</f>
      </c>
      <c r="J72" s="20" t="str">
        <f>i72 / 560563.81</f>
      </c>
    </row>
    <row customHeight="1" ht="24" r="73">
      <c r="A73" s="8" t="inlineStr">
        <is>
          <t> 5.3 </t>
        </is>
      </c>
      <c r="B73" s="8"/>
      <c r="C73" s="8"/>
      <c r="D73" s="8" t="inlineStr">
        <is>
          <t>GRADIL</t>
        </is>
      </c>
      <c r="E73" s="8"/>
      <c r="F73" s="10"/>
      <c r="G73" s="8"/>
      <c r="H73" s="8"/>
      <c r="I73" s="11" t="n">
        <v>9250.92</v>
      </c>
      <c r="J73" s="12" t="str">
        <f>i73 / 560563.81</f>
      </c>
    </row>
    <row customHeight="1" ht="26" r="74">
      <c r="A74" s="16" t="inlineStr">
        <is>
          <t> 5.3.1 </t>
        </is>
      </c>
      <c r="B74" s="18" t="inlineStr">
        <is>
          <t> 99861 </t>
        </is>
      </c>
      <c r="C74" s="16" t="inlineStr">
        <is>
          <t>SINAPI</t>
        </is>
      </c>
      <c r="D74" s="16" t="inlineStr">
        <is>
          <t>GRADIL EM FERRO FIXADO EM VÃOS DE JANELAS, FORMADO POR BARRAS CHATAS DE 25X4,8 MM. AF_04/2019</t>
        </is>
      </c>
      <c r="E74" s="17" t="inlineStr">
        <is>
          <t>m²</t>
        </is>
      </c>
      <c r="F74" s="18" t="n">
        <v>11.85</v>
      </c>
      <c r="G74" s="19" t="n">
        <v>620.45</v>
      </c>
      <c r="H74" s="19" t="str">
        <f>TRUNC(G74 * (1 + 22.88 / 100), 2)</f>
      </c>
      <c r="I74" s="19" t="str">
        <f>TRUNC(F74 * h74, 2)</f>
      </c>
      <c r="J74" s="20" t="str">
        <f>i74 / 560563.81</f>
      </c>
    </row>
    <row customHeight="1" ht="39" r="75">
      <c r="A75" s="16" t="inlineStr">
        <is>
          <t> 5.3.2 </t>
        </is>
      </c>
      <c r="B75" s="18" t="inlineStr">
        <is>
          <t> PMPG EST 007 </t>
        </is>
      </c>
      <c r="C75" s="16" t="inlineStr">
        <is>
          <t>Próprio</t>
        </is>
      </c>
      <c r="D75" s="16" t="inlineStr">
        <is>
          <t>PINTURA COM TINTA ESMALTE SINTETICO STANDARD FOSCO PULVERIZADA SOBRE PERFIL METÁLICO EXECUTADO EM FÁBRICA (POR DEMÃO).</t>
        </is>
      </c>
      <c r="E75" s="17" t="inlineStr">
        <is>
          <t>m²</t>
        </is>
      </c>
      <c r="F75" s="18" t="n">
        <v>22.0</v>
      </c>
      <c r="G75" s="19" t="n">
        <v>8.01</v>
      </c>
      <c r="H75" s="19" t="str">
        <f>TRUNC(G75 * (1 + 22.88 / 100), 2)</f>
      </c>
      <c r="I75" s="19" t="str">
        <f>TRUNC(F75 * h75, 2)</f>
      </c>
      <c r="J75" s="20" t="str">
        <f>i75 / 560563.81</f>
      </c>
    </row>
    <row customHeight="1" ht="24" r="76">
      <c r="A76" s="8" t="inlineStr">
        <is>
          <t> 5.4 </t>
        </is>
      </c>
      <c r="B76" s="8"/>
      <c r="C76" s="8"/>
      <c r="D76" s="8" t="inlineStr">
        <is>
          <t>COBOGÓ</t>
        </is>
      </c>
      <c r="E76" s="8"/>
      <c r="F76" s="10"/>
      <c r="G76" s="8"/>
      <c r="H76" s="8"/>
      <c r="I76" s="11" t="n">
        <v>5998.86</v>
      </c>
      <c r="J76" s="12" t="str">
        <f>i76 / 560563.81</f>
      </c>
    </row>
    <row customHeight="1" ht="39" r="77">
      <c r="A77" s="16" t="inlineStr">
        <is>
          <t> 5.4.1 </t>
        </is>
      </c>
      <c r="B77" s="18" t="inlineStr">
        <is>
          <t> 101161 </t>
        </is>
      </c>
      <c r="C77" s="16" t="inlineStr">
        <is>
          <t>SINAPI</t>
        </is>
      </c>
      <c r="D77" s="16" t="inlineStr">
        <is>
          <t>ALVENARIA DE VEDAÇÃO COM ELEMENTO VAZADO DE CONCRETO (COBOGÓ) DE 7X50X50CM E ARGAMASSA DE ASSENTAMENTO COM PREPARO EM BETONEIRA. AF_05/2020</t>
        </is>
      </c>
      <c r="E77" s="17" t="inlineStr">
        <is>
          <t>m²</t>
        </is>
      </c>
      <c r="F77" s="18" t="n">
        <v>22.45</v>
      </c>
      <c r="G77" s="19" t="n">
        <v>217.46</v>
      </c>
      <c r="H77" s="19" t="str">
        <f>TRUNC(G77 * (1 + 22.88 / 100), 2)</f>
      </c>
      <c r="I77" s="19" t="str">
        <f>TRUNC(F77 * h77, 2)</f>
      </c>
      <c r="J77" s="20" t="str">
        <f>i77 / 560563.81</f>
      </c>
    </row>
    <row customHeight="1" ht="24" r="78">
      <c r="A78" s="8" t="inlineStr">
        <is>
          <t> 5.5 </t>
        </is>
      </c>
      <c r="B78" s="8"/>
      <c r="C78" s="8"/>
      <c r="D78" s="8" t="inlineStr">
        <is>
          <t>FORRO</t>
        </is>
      </c>
      <c r="E78" s="8"/>
      <c r="F78" s="10"/>
      <c r="G78" s="8"/>
      <c r="H78" s="8"/>
      <c r="I78" s="11" t="n">
        <v>21367.01</v>
      </c>
      <c r="J78" s="12" t="str">
        <f>i78 / 560563.81</f>
      </c>
    </row>
    <row customHeight="1" ht="39" r="79">
      <c r="A79" s="16" t="inlineStr">
        <is>
          <t> 5.5.1 </t>
        </is>
      </c>
      <c r="B79" s="18" t="inlineStr">
        <is>
          <t> COMP - CIV - 007 </t>
        </is>
      </c>
      <c r="C79" s="16" t="inlineStr">
        <is>
          <t>Próprio</t>
        </is>
      </c>
      <c r="D79" s="16" t="inlineStr">
        <is>
          <t>Referência SINAPI (96114) - FORRO EM DRYWALL, PARA AMBIENTES COMERCIAIS, INCLUSIVE ESTRUTURA DE FIXAÇÃO. AF_05/2017_PS</t>
        </is>
      </c>
      <c r="E79" s="17" t="inlineStr">
        <is>
          <t>m²</t>
        </is>
      </c>
      <c r="F79" s="18" t="n">
        <v>105.61</v>
      </c>
      <c r="G79" s="19" t="n">
        <v>164.65</v>
      </c>
      <c r="H79" s="19" t="str">
        <f>TRUNC(G79 * (1 + 22.88 / 100), 2)</f>
      </c>
      <c r="I79" s="19" t="str">
        <f>TRUNC(F79 * h79, 2)</f>
      </c>
      <c r="J79" s="20" t="str">
        <f>i79 / 560563.81</f>
      </c>
    </row>
    <row customHeight="1" ht="24" r="80">
      <c r="A80" s="8" t="inlineStr">
        <is>
          <t> 5.6 </t>
        </is>
      </c>
      <c r="B80" s="8"/>
      <c r="C80" s="8"/>
      <c r="D80" s="8" t="inlineStr">
        <is>
          <t>BRISE</t>
        </is>
      </c>
      <c r="E80" s="8"/>
      <c r="F80" s="10"/>
      <c r="G80" s="8"/>
      <c r="H80" s="8"/>
      <c r="I80" s="11" t="n">
        <v>21864.76</v>
      </c>
      <c r="J80" s="12" t="str">
        <f>i80 / 560563.81</f>
      </c>
    </row>
    <row customHeight="1" ht="26" r="81">
      <c r="A81" s="16" t="inlineStr">
        <is>
          <t> 5.6.1 </t>
        </is>
      </c>
      <c r="B81" s="18" t="inlineStr">
        <is>
          <t> 112690 </t>
        </is>
      </c>
      <c r="C81" s="16" t="inlineStr">
        <is>
          <t>SBC</t>
        </is>
      </c>
      <c r="D81" s="16" t="inlineStr">
        <is>
          <t>BRISE METALICO DE ALUMINIO,B57 BRANCO NIEVE 7000 HUNTER DOUG</t>
        </is>
      </c>
      <c r="E81" s="17" t="inlineStr">
        <is>
          <t>m²</t>
        </is>
      </c>
      <c r="F81" s="18" t="n">
        <v>20.19</v>
      </c>
      <c r="G81" s="19" t="n">
        <v>881.31</v>
      </c>
      <c r="H81" s="19" t="str">
        <f>TRUNC(G81 * (1 + 22.88 / 100), 2)</f>
      </c>
      <c r="I81" s="19" t="str">
        <f>TRUNC(F81 * h81, 2)</f>
      </c>
      <c r="J81" s="20" t="str">
        <f>i81 / 560563.81</f>
      </c>
    </row>
    <row customHeight="1" ht="24" r="82">
      <c r="A82" s="8" t="inlineStr">
        <is>
          <t> 5.7 </t>
        </is>
      </c>
      <c r="B82" s="8"/>
      <c r="C82" s="8"/>
      <c r="D82" s="8" t="inlineStr">
        <is>
          <t>FACHADAS</t>
        </is>
      </c>
      <c r="E82" s="8"/>
      <c r="F82" s="10"/>
      <c r="G82" s="8"/>
      <c r="H82" s="8"/>
      <c r="I82" s="11" t="n">
        <v>20912.26</v>
      </c>
      <c r="J82" s="12" t="str">
        <f>i82 / 560563.81</f>
      </c>
    </row>
    <row customHeight="1" ht="24" r="83">
      <c r="A83" s="16" t="inlineStr">
        <is>
          <t> 5.7.1 </t>
        </is>
      </c>
      <c r="B83" s="18" t="inlineStr">
        <is>
          <t> 061458 </t>
        </is>
      </c>
      <c r="C83" s="16" t="inlineStr">
        <is>
          <t>SEDOP</t>
        </is>
      </c>
      <c r="D83" s="16" t="inlineStr">
        <is>
          <t>Painel em ACM - Estruturado (fachadas)</t>
        </is>
      </c>
      <c r="E83" s="17" t="inlineStr">
        <is>
          <t>m²</t>
        </is>
      </c>
      <c r="F83" s="18" t="n">
        <v>29.63</v>
      </c>
      <c r="G83" s="19" t="n">
        <v>574.37</v>
      </c>
      <c r="H83" s="19" t="str">
        <f>TRUNC(G83 * (1 + 22.88 / 100), 2)</f>
      </c>
      <c r="I83" s="19" t="str">
        <f>TRUNC(F83 * h83, 2)</f>
      </c>
      <c r="J83" s="20" t="str">
        <f>i83 / 560563.81</f>
      </c>
    </row>
    <row customHeight="1" ht="24" r="84">
      <c r="A84" s="8" t="inlineStr">
        <is>
          <t> 6 </t>
        </is>
      </c>
      <c r="B84" s="8"/>
      <c r="C84" s="8"/>
      <c r="D84" s="8" t="inlineStr">
        <is>
          <t>PISOS</t>
        </is>
      </c>
      <c r="E84" s="8"/>
      <c r="F84" s="10"/>
      <c r="G84" s="8"/>
      <c r="H84" s="8"/>
      <c r="I84" s="11" t="n">
        <v>41835.12</v>
      </c>
      <c r="J84" s="12" t="str">
        <f>i84 / 560563.81</f>
      </c>
    </row>
    <row customHeight="1" ht="24" r="85">
      <c r="A85" s="8" t="inlineStr">
        <is>
          <t> 6.1 </t>
        </is>
      </c>
      <c r="B85" s="8"/>
      <c r="C85" s="8"/>
      <c r="D85" s="8" t="inlineStr">
        <is>
          <t>INTERNO</t>
        </is>
      </c>
      <c r="E85" s="8"/>
      <c r="F85" s="10"/>
      <c r="G85" s="8"/>
      <c r="H85" s="8"/>
      <c r="I85" s="11" t="n">
        <v>27248.51</v>
      </c>
      <c r="J85" s="12" t="str">
        <f>i85 / 560563.81</f>
      </c>
    </row>
    <row customHeight="1" ht="39" r="86">
      <c r="A86" s="16" t="inlineStr">
        <is>
          <t> 6.1.1 </t>
        </is>
      </c>
      <c r="B86" s="18" t="inlineStr">
        <is>
          <t> 87299 </t>
        </is>
      </c>
      <c r="C86" s="16" t="inlineStr">
        <is>
          <t>SINAPI</t>
        </is>
      </c>
      <c r="D86" s="16" t="inlineStr">
        <is>
          <t>ARGAMASSA TRAÇO 1:3 (EM VOLUME DE CIMENTO E AREIA MÉDIA ÚMIDA) PARA CONTRAPISO, PREPARO MECÂNICO COM BETONEIRA 600 L. AF_08/2019</t>
        </is>
      </c>
      <c r="E86" s="17" t="inlineStr">
        <is>
          <t>m³</t>
        </is>
      </c>
      <c r="F86" s="18" t="n">
        <v>4.7</v>
      </c>
      <c r="G86" s="19" t="n">
        <v>498.71</v>
      </c>
      <c r="H86" s="19" t="str">
        <f>TRUNC(G86 * (1 + 22.88 / 100), 2)</f>
      </c>
      <c r="I86" s="19" t="str">
        <f>TRUNC(F86 * h86, 2)</f>
      </c>
      <c r="J86" s="20" t="str">
        <f>i86 / 560563.81</f>
      </c>
    </row>
    <row customHeight="1" ht="39" r="87">
      <c r="A87" s="16" t="inlineStr">
        <is>
          <t> 6.1.2 </t>
        </is>
      </c>
      <c r="B87" s="18" t="inlineStr">
        <is>
          <t> 87263 </t>
        </is>
      </c>
      <c r="C87" s="16" t="inlineStr">
        <is>
          <t>SINAPI</t>
        </is>
      </c>
      <c r="D87" s="16" t="inlineStr">
        <is>
          <t>REVESTIMENTO CERÂMICO PARA PISO COM PLACAS TIPO PORCELANATO DE DIMENSÕES 60X60 CM APLICADA EM AMBIENTES DE ÁREA MAIOR QUE 10 M². AF_06/2014</t>
        </is>
      </c>
      <c r="E87" s="17" t="inlineStr">
        <is>
          <t>m²</t>
        </is>
      </c>
      <c r="F87" s="18" t="n">
        <v>100.83</v>
      </c>
      <c r="G87" s="19" t="n">
        <v>160.04</v>
      </c>
      <c r="H87" s="19" t="str">
        <f>TRUNC(G87 * (1 + 22.88 / 100), 2)</f>
      </c>
      <c r="I87" s="19" t="str">
        <f>TRUNC(F87 * h87, 2)</f>
      </c>
      <c r="J87" s="20" t="str">
        <f>i87 / 560563.81</f>
      </c>
    </row>
    <row customHeight="1" ht="24" r="88">
      <c r="A88" s="44" t="inlineStr">
        <is>
          <t> 6.1.3 </t>
        </is>
      </c>
      <c r="B88" s="46" t="inlineStr">
        <is>
          <t> 000640 </t>
        </is>
      </c>
      <c r="C88" s="44" t="inlineStr">
        <is>
          <t>SBC</t>
        </is>
      </c>
      <c r="D88" s="44" t="inlineStr">
        <is>
          <t>GRELHA (RALO) FERRO FUNDIDO COM REQUADRO 30x100cm</t>
        </is>
      </c>
      <c r="E88" s="45" t="inlineStr">
        <is>
          <t>UN</t>
        </is>
      </c>
      <c r="F88" s="46" t="n">
        <v>8.0</v>
      </c>
      <c r="G88" s="47" t="n">
        <v>199.5</v>
      </c>
      <c r="H88" s="47" t="str">
        <f>TRUNC(G88 * (1 + 17.0 / 100), 2) &amp;CHAR(10)&amp; "(17.0%)"</f>
      </c>
      <c r="I88" s="47" t="str">
        <f>TRUNC(F88 * TRUNC(g88 * (1 + 17.0 / 100), 2), 2)</f>
      </c>
      <c r="J88" s="48" t="str">
        <f>i88 / 560563.81</f>
      </c>
    </row>
    <row customHeight="1" ht="26" r="89">
      <c r="A89" s="44" t="inlineStr">
        <is>
          <t> 6.1.4 </t>
        </is>
      </c>
      <c r="B89" s="46" t="inlineStr">
        <is>
          <t> 000249 </t>
        </is>
      </c>
      <c r="C89" s="44" t="inlineStr">
        <is>
          <t>SBC</t>
        </is>
      </c>
      <c r="D89" s="44" t="inlineStr">
        <is>
          <t>GRELHA CONTINUA EM ALUMINIO ANODIZADO FOSCO 300x100mm</t>
        </is>
      </c>
      <c r="E89" s="45" t="inlineStr">
        <is>
          <t>UN</t>
        </is>
      </c>
      <c r="F89" s="46" t="n">
        <v>31.0</v>
      </c>
      <c r="G89" s="47" t="n">
        <v>73.7</v>
      </c>
      <c r="H89" s="47" t="str">
        <f>TRUNC(G89 * (1 + 17.0 / 100), 2) &amp;CHAR(10)&amp; "(17.0%)"</f>
      </c>
      <c r="I89" s="47" t="str">
        <f>TRUNC(F89 * TRUNC(g89 * (1 + 17.0 / 100), 2), 2)</f>
      </c>
      <c r="J89" s="48" t="str">
        <f>i89 / 560563.81</f>
      </c>
    </row>
    <row customHeight="1" ht="24" r="90">
      <c r="A90" s="8" t="inlineStr">
        <is>
          <t> 6.2 </t>
        </is>
      </c>
      <c r="B90" s="8"/>
      <c r="C90" s="8"/>
      <c r="D90" s="8" t="inlineStr">
        <is>
          <t>EXTERNO</t>
        </is>
      </c>
      <c r="E90" s="8"/>
      <c r="F90" s="10"/>
      <c r="G90" s="8"/>
      <c r="H90" s="8"/>
      <c r="I90" s="11" t="n">
        <v>14586.61</v>
      </c>
      <c r="J90" s="12" t="str">
        <f>i90 / 560563.81</f>
      </c>
    </row>
    <row customHeight="1" ht="39" r="91">
      <c r="A91" s="16" t="inlineStr">
        <is>
          <t> 6.2.1 </t>
        </is>
      </c>
      <c r="B91" s="18" t="inlineStr">
        <is>
          <t> 94990 </t>
        </is>
      </c>
      <c r="C91" s="16" t="inlineStr">
        <is>
          <t>SINAPI</t>
        </is>
      </c>
      <c r="D91" s="16" t="inlineStr">
        <is>
          <t>EXECUÇÃO DE PASSEIO (CALÇADA) OU PISO DE CONCRETO COM CONCRETO MOLDADO IN LOCO, FEITO EM OBRA, ACABAMENTO CONVENCIONAL, NÃO ARMADO. AF_08/2022</t>
        </is>
      </c>
      <c r="E91" s="17" t="inlineStr">
        <is>
          <t>m³</t>
        </is>
      </c>
      <c r="F91" s="18" t="n">
        <v>14.19</v>
      </c>
      <c r="G91" s="19" t="n">
        <v>836.55</v>
      </c>
      <c r="H91" s="19" t="str">
        <f>TRUNC(G91 * (1 + 22.88 / 100), 2)</f>
      </c>
      <c r="I91" s="19" t="str">
        <f>TRUNC(F91 * h91, 2)</f>
      </c>
      <c r="J91" s="20" t="str">
        <f>i91 / 560563.81</f>
      </c>
    </row>
    <row customHeight="1" ht="24" r="92">
      <c r="A92" s="8" t="inlineStr">
        <is>
          <t> 7 </t>
        </is>
      </c>
      <c r="B92" s="8"/>
      <c r="C92" s="8"/>
      <c r="D92" s="8" t="inlineStr">
        <is>
          <t>ESQUADRIAS</t>
        </is>
      </c>
      <c r="E92" s="8"/>
      <c r="F92" s="10"/>
      <c r="G92" s="8"/>
      <c r="H92" s="8"/>
      <c r="I92" s="11" t="n">
        <v>59535.81</v>
      </c>
      <c r="J92" s="12" t="str">
        <f>i92 / 560563.81</f>
      </c>
    </row>
    <row customHeight="1" ht="24" r="93">
      <c r="A93" s="8" t="inlineStr">
        <is>
          <t> 7.1 </t>
        </is>
      </c>
      <c r="B93" s="8"/>
      <c r="C93" s="8"/>
      <c r="D93" s="8" t="inlineStr">
        <is>
          <t>JANELAS E VIDRAÇAS</t>
        </is>
      </c>
      <c r="E93" s="8"/>
      <c r="F93" s="10"/>
      <c r="G93" s="8"/>
      <c r="H93" s="8"/>
      <c r="I93" s="11" t="n">
        <v>21054.58</v>
      </c>
      <c r="J93" s="12" t="str">
        <f>i93 / 560563.81</f>
      </c>
    </row>
    <row customHeight="1" ht="65" r="94">
      <c r="A94" s="44" t="inlineStr">
        <is>
          <t> 7.1.1 </t>
        </is>
      </c>
      <c r="B94" s="46" t="inlineStr">
        <is>
          <t> 00000088 </t>
        </is>
      </c>
      <c r="C94" s="44" t="inlineStr">
        <is>
          <t>Próprio</t>
        </is>
      </c>
      <c r="D94" s="44" t="inlineStr">
        <is>
          <t>JANELA DE CORRER , COM BANDAROLA NA PARTE DE CIMA INCOLOR 08MM DE 1.774X975 E UMA JANELA 1.774X1.200, MODELO, 1 FIXA E 1 CORRE INCOLOR 08MM, COM BATE FECHA V.A E UM VIDRO FIXO EMBAIXO INCOLOR 08MM DE 1.774X1.115 COM ALUMINIOS PRETOS.</t>
        </is>
      </c>
      <c r="E94" s="45" t="inlineStr">
        <is>
          <t>UN</t>
        </is>
      </c>
      <c r="F94" s="46" t="n">
        <v>3.0</v>
      </c>
      <c r="G94" s="47" t="n">
        <v>2700.0</v>
      </c>
      <c r="H94" s="47" t="str">
        <f>TRUNC(G94 * (1 + 17.0 / 100), 2) &amp;CHAR(10)&amp; "(17.0%)"</f>
      </c>
      <c r="I94" s="47" t="str">
        <f>TRUNC(F94 * TRUNC(g94 * (1 + 17.0 / 100), 2), 2)</f>
      </c>
      <c r="J94" s="48" t="str">
        <f>i94 / 560563.81</f>
      </c>
    </row>
    <row customHeight="1" ht="65" r="95">
      <c r="A95" s="44" t="inlineStr">
        <is>
          <t> 7.1.2 </t>
        </is>
      </c>
      <c r="B95" s="46" t="inlineStr">
        <is>
          <t> 00000089 </t>
        </is>
      </c>
      <c r="C95" s="44" t="inlineStr">
        <is>
          <t>Próprio</t>
        </is>
      </c>
      <c r="D95" s="44" t="inlineStr">
        <is>
          <t>JANELA DE CORRER , COM BANDAROLA NA PARTE DE CIMA INCOLOR 08MM DE 2.785X975 E UMA JANELA 2.785X1.200, MODELO, 1 FIXA E 1 CORRE INCOLOR 08MM, COM BATE FECHA V.A E UM VIDRO FIXO EMBAIXO INCOLOR 08MM DE 2.785X1.115 COM ALUMINIOS PRETOS.</t>
        </is>
      </c>
      <c r="E95" s="45" t="inlineStr">
        <is>
          <t>UN</t>
        </is>
      </c>
      <c r="F95" s="46" t="n">
        <v>1.0</v>
      </c>
      <c r="G95" s="47" t="n">
        <v>4100.0</v>
      </c>
      <c r="H95" s="47" t="str">
        <f>TRUNC(G95 * (1 + 17.0 / 100), 2) &amp;CHAR(10)&amp; "(17.0%)"</f>
      </c>
      <c r="I95" s="47" t="str">
        <f>TRUNC(F95 * TRUNC(g95 * (1 + 17.0 / 100), 2), 2)</f>
      </c>
      <c r="J95" s="48" t="str">
        <f>i95 / 560563.81</f>
      </c>
    </row>
    <row customHeight="1" ht="39" r="96">
      <c r="A96" s="44" t="inlineStr">
        <is>
          <t> 7.1.3 </t>
        </is>
      </c>
      <c r="B96" s="46" t="inlineStr">
        <is>
          <t> 00000093 </t>
        </is>
      </c>
      <c r="C96" s="44" t="inlineStr">
        <is>
          <t>Próprio</t>
        </is>
      </c>
      <c r="D96" s="44" t="inlineStr">
        <is>
          <t>JANELA DE CORRER 600X400, MODELO 1 FIXA E 1 CORRE INCOLOR 08MM, COM BATE FECHA V.A E ALUMINIOS PRETOS</t>
        </is>
      </c>
      <c r="E96" s="45" t="inlineStr">
        <is>
          <t>UN</t>
        </is>
      </c>
      <c r="F96" s="46" t="n">
        <v>3.0</v>
      </c>
      <c r="G96" s="47" t="n">
        <v>320.0</v>
      </c>
      <c r="H96" s="47" t="str">
        <f>TRUNC(G96 * (1 + 17.0 / 100), 2) &amp;CHAR(10)&amp; "(17.0%)"</f>
      </c>
      <c r="I96" s="47" t="str">
        <f>TRUNC(F96 * TRUNC(g96 * (1 + 17.0 / 100), 2), 2)</f>
      </c>
      <c r="J96" s="48" t="str">
        <f>i96 / 560563.81</f>
      </c>
    </row>
    <row customHeight="1" ht="39" r="97">
      <c r="A97" s="44" t="inlineStr">
        <is>
          <t> 7.1.4 </t>
        </is>
      </c>
      <c r="B97" s="46" t="inlineStr">
        <is>
          <t> 00000092 </t>
        </is>
      </c>
      <c r="C97" s="44" t="inlineStr">
        <is>
          <t>Próprio</t>
        </is>
      </c>
      <c r="D97" s="44" t="inlineStr">
        <is>
          <t>JANELA DE CORRER 1500X500, MODELO 1 FIXA E 1 CORRE INCOLOR 08MM, COM BATE FECHA V.A E ALUMINIOS PRETOS</t>
        </is>
      </c>
      <c r="E97" s="45" t="inlineStr">
        <is>
          <t>UN</t>
        </is>
      </c>
      <c r="F97" s="46" t="n">
        <v>1.0</v>
      </c>
      <c r="G97" s="47" t="n">
        <v>520.0</v>
      </c>
      <c r="H97" s="47" t="str">
        <f>TRUNC(G97 * (1 + 17.0 / 100), 2) &amp;CHAR(10)&amp; "(17.0%)"</f>
      </c>
      <c r="I97" s="47" t="str">
        <f>TRUNC(F97 * TRUNC(g97 * (1 + 17.0 / 100), 2), 2)</f>
      </c>
      <c r="J97" s="48" t="str">
        <f>i97 / 560563.81</f>
      </c>
    </row>
    <row customHeight="1" ht="39" r="98">
      <c r="A98" s="44" t="inlineStr">
        <is>
          <t> 7.1.5 </t>
        </is>
      </c>
      <c r="B98" s="46" t="inlineStr">
        <is>
          <t> 00000090 </t>
        </is>
      </c>
      <c r="C98" s="44" t="inlineStr">
        <is>
          <t>Próprio</t>
        </is>
      </c>
      <c r="D98" s="44" t="inlineStr">
        <is>
          <t>JANELA DE CORRER 1.200X1.000, MODELO 1 FIXA E 1 CORRE INCOLOR 08MM, COM BATE FECHA V.A E ALUMINIOS PRETOS</t>
        </is>
      </c>
      <c r="E98" s="45" t="inlineStr">
        <is>
          <t>UN</t>
        </is>
      </c>
      <c r="F98" s="46" t="n">
        <v>1.0</v>
      </c>
      <c r="G98" s="47" t="n">
        <v>600.0</v>
      </c>
      <c r="H98" s="47" t="str">
        <f>TRUNC(G98 * (1 + 17.0 / 100), 2) &amp;CHAR(10)&amp; "(17.0%)"</f>
      </c>
      <c r="I98" s="47" t="str">
        <f>TRUNC(F98 * TRUNC(g98 * (1 + 17.0 / 100), 2), 2)</f>
      </c>
      <c r="J98" s="48" t="str">
        <f>i98 / 560563.81</f>
      </c>
    </row>
    <row customHeight="1" ht="39" r="99">
      <c r="A99" s="44" t="inlineStr">
        <is>
          <t> 7.1.6 </t>
        </is>
      </c>
      <c r="B99" s="46" t="inlineStr">
        <is>
          <t> 00000091 </t>
        </is>
      </c>
      <c r="C99" s="44" t="inlineStr">
        <is>
          <t>Próprio</t>
        </is>
      </c>
      <c r="D99" s="44" t="inlineStr">
        <is>
          <t>JANELA DE CORRER 1.000X1.400, MODELO 1 FIXA E 1 CORRE INCOLOR 08MM, COM BATE FECHA V.A E ALUMINIOS PRETOS</t>
        </is>
      </c>
      <c r="E99" s="45" t="inlineStr">
        <is>
          <t>UN</t>
        </is>
      </c>
      <c r="F99" s="46" t="n">
        <v>3.0</v>
      </c>
      <c r="G99" s="47" t="n">
        <v>700.0</v>
      </c>
      <c r="H99" s="47" t="str">
        <f>TRUNC(G99 * (1 + 17.0 / 100), 2) &amp;CHAR(10)&amp; "(17.0%)"</f>
      </c>
      <c r="I99" s="47" t="str">
        <f>TRUNC(F99 * TRUNC(g99 * (1 + 17.0 / 100), 2), 2)</f>
      </c>
      <c r="J99" s="48" t="str">
        <f>i99 / 560563.81</f>
      </c>
    </row>
    <row customHeight="1" ht="26" r="100">
      <c r="A100" s="16" t="inlineStr">
        <is>
          <t> 7.1.7 </t>
        </is>
      </c>
      <c r="B100" s="18" t="inlineStr">
        <is>
          <t> 98695 </t>
        </is>
      </c>
      <c r="C100" s="16" t="inlineStr">
        <is>
          <t>SINAPI</t>
        </is>
      </c>
      <c r="D100" s="16" t="inlineStr">
        <is>
          <t>SOLEIRA EM MÁRMORE, LARGURA 15 CM, ESPESSURA 2,0 CM. AF_09/2020</t>
        </is>
      </c>
      <c r="E100" s="17" t="inlineStr">
        <is>
          <t>M</t>
        </is>
      </c>
      <c r="F100" s="18" t="n">
        <v>9.3</v>
      </c>
      <c r="G100" s="19" t="n">
        <v>93.72</v>
      </c>
      <c r="H100" s="19" t="str">
        <f>TRUNC(G100 * (1 + 22.88 / 100), 2)</f>
      </c>
      <c r="I100" s="19" t="str">
        <f>TRUNC(F100 * h100, 2)</f>
      </c>
      <c r="J100" s="20" t="str">
        <f>i100 / 560563.81</f>
      </c>
    </row>
    <row customHeight="1" ht="26" r="101">
      <c r="A101" s="44" t="inlineStr">
        <is>
          <t> 7.1.8 </t>
        </is>
      </c>
      <c r="B101" s="46" t="inlineStr">
        <is>
          <t> 00000087 </t>
        </is>
      </c>
      <c r="C101" s="44" t="inlineStr">
        <is>
          <t>Próprio</t>
        </is>
      </c>
      <c r="D101" s="44" t="inlineStr">
        <is>
          <t>JANELA VIDRO FIXO 1.800X1.000, INCOLOR 08MM, COM ALUMINIOS PRETOS.</t>
        </is>
      </c>
      <c r="E101" s="45" t="inlineStr">
        <is>
          <t>UN</t>
        </is>
      </c>
      <c r="F101" s="46" t="n">
        <v>1.0</v>
      </c>
      <c r="G101" s="47" t="n">
        <v>700.0</v>
      </c>
      <c r="H101" s="47" t="str">
        <f>TRUNC(G101 * (1 + 17.0 / 100), 2) &amp;CHAR(10)&amp; "(17.0%)"</f>
      </c>
      <c r="I101" s="47" t="str">
        <f>TRUNC(F101 * TRUNC(g101 * (1 + 17.0 / 100), 2), 2)</f>
      </c>
      <c r="J101" s="48" t="str">
        <f>i101 / 560563.81</f>
      </c>
    </row>
    <row customHeight="1" ht="24" r="102">
      <c r="A102" s="8" t="inlineStr">
        <is>
          <t> 7.2 </t>
        </is>
      </c>
      <c r="B102" s="8"/>
      <c r="C102" s="8"/>
      <c r="D102" s="8" t="inlineStr">
        <is>
          <t>PORTAS</t>
        </is>
      </c>
      <c r="E102" s="8"/>
      <c r="F102" s="10"/>
      <c r="G102" s="8"/>
      <c r="H102" s="8"/>
      <c r="I102" s="11" t="n">
        <v>38481.23</v>
      </c>
      <c r="J102" s="12" t="str">
        <f>i102 / 560563.81</f>
      </c>
    </row>
    <row customHeight="1" ht="39" r="103">
      <c r="A103" s="44" t="inlineStr">
        <is>
          <t> 7.2.1 </t>
        </is>
      </c>
      <c r="B103" s="46" t="inlineStr">
        <is>
          <t> 00000085 </t>
        </is>
      </c>
      <c r="C103" s="44" t="inlineStr">
        <is>
          <t>Próprio</t>
        </is>
      </c>
      <c r="D103" s="44" t="inlineStr">
        <is>
          <t>PORTA DE CORRER ATRAS DA PAREDE 1.050X2.090 INCOLOR 10MM, COM FECHADURA CROMADA E PUXADOR DE INOX, ALUMINIOS PRETOS.</t>
        </is>
      </c>
      <c r="E103" s="45" t="inlineStr">
        <is>
          <t>UN</t>
        </is>
      </c>
      <c r="F103" s="46" t="n">
        <v>6.0</v>
      </c>
      <c r="G103" s="47" t="n">
        <v>1650.0</v>
      </c>
      <c r="H103" s="47" t="str">
        <f>TRUNC(G103 * (1 + 17.0 / 100), 2) &amp;CHAR(10)&amp; "(17.0%)"</f>
      </c>
      <c r="I103" s="47" t="str">
        <f>TRUNC(F103 * TRUNC(g103 * (1 + 17.0 / 100), 2), 2)</f>
      </c>
      <c r="J103" s="48" t="str">
        <f>i103 / 560563.81</f>
      </c>
    </row>
    <row customHeight="1" ht="39" r="104">
      <c r="A104" s="44" t="inlineStr">
        <is>
          <t> 7.2.2 </t>
        </is>
      </c>
      <c r="B104" s="46" t="inlineStr">
        <is>
          <t> 00000084 </t>
        </is>
      </c>
      <c r="C104" s="44" t="inlineStr">
        <is>
          <t>Próprio</t>
        </is>
      </c>
      <c r="D104" s="44" t="inlineStr">
        <is>
          <t>PORTA DE CORRER 4 FOLHAS 2.500X2.090, MODELO 2 FIXA E 2 CORRE INCOLOR 10MM, COM FECHADURA, TRINCO CROMADO E PUXADORES DE INOX, ALUMINIOS PRETOS.</t>
        </is>
      </c>
      <c r="E104" s="45" t="inlineStr">
        <is>
          <t>UN</t>
        </is>
      </c>
      <c r="F104" s="46" t="n">
        <v>1.0</v>
      </c>
      <c r="G104" s="47" t="n">
        <v>3250.0</v>
      </c>
      <c r="H104" s="47" t="str">
        <f>TRUNC(G104 * (1 + 17.0 / 100), 2) &amp;CHAR(10)&amp; "(17.0%)"</f>
      </c>
      <c r="I104" s="47" t="str">
        <f>TRUNC(F104 * TRUNC(g104 * (1 + 17.0 / 100), 2), 2)</f>
      </c>
      <c r="J104" s="48" t="str">
        <f>i104 / 560563.81</f>
      </c>
    </row>
    <row customHeight="1" ht="52" r="105">
      <c r="A105" s="44" t="inlineStr">
        <is>
          <t> 7.2.3 </t>
        </is>
      </c>
      <c r="B105" s="46" t="inlineStr">
        <is>
          <t> 00000082 </t>
        </is>
      </c>
      <c r="C105" s="44" t="inlineStr">
        <is>
          <t>Próprio</t>
        </is>
      </c>
      <c r="D105" s="44" t="inlineStr">
        <is>
          <t>CONJUNTO DE 2 PORTAR DE ABRIR 1.793X2.500 INCOLOR 10MM, COM DOBRADIÇAS, FECHADURA E TRINCOS CROMADOS E PUXADORES INOX, COM BANDAROLA INCOLOR 08MM, E ALUMINIOS PRETOS.</t>
        </is>
      </c>
      <c r="E105" s="45" t="inlineStr">
        <is>
          <t>UN</t>
        </is>
      </c>
      <c r="F105" s="46" t="n">
        <v>1.0</v>
      </c>
      <c r="G105" s="47" t="n">
        <v>3050.0</v>
      </c>
      <c r="H105" s="47" t="str">
        <f>TRUNC(G105 * (1 + 17.0 / 100), 2) &amp;CHAR(10)&amp; "(17.0%)"</f>
      </c>
      <c r="I105" s="47" t="str">
        <f>TRUNC(F105 * TRUNC(g105 * (1 + 17.0 / 100), 2), 2)</f>
      </c>
      <c r="J105" s="48" t="str">
        <f>i105 / 560563.81</f>
      </c>
    </row>
    <row customHeight="1" ht="39" r="106">
      <c r="A106" s="44" t="inlineStr">
        <is>
          <t> 7.2.4 </t>
        </is>
      </c>
      <c r="B106" s="46" t="inlineStr">
        <is>
          <t> 00000083 </t>
        </is>
      </c>
      <c r="C106" s="44" t="inlineStr">
        <is>
          <t>Próprio</t>
        </is>
      </c>
      <c r="D106" s="44" t="inlineStr">
        <is>
          <t>PORTA DE CORRER 2 FOLHAS.050X2.100, MODELO, 1 FIXA E 1 CORRE INCOLOR 10MM, COM FECHADURA CROMADA E PUXADOR INOX, ALUMINIOS PRETOS.</t>
        </is>
      </c>
      <c r="E106" s="45" t="inlineStr">
        <is>
          <t>UN</t>
        </is>
      </c>
      <c r="F106" s="46" t="n">
        <v>3.0</v>
      </c>
      <c r="G106" s="47" t="n">
        <v>2450.0</v>
      </c>
      <c r="H106" s="47" t="str">
        <f>TRUNC(G106 * (1 + 17.0 / 100), 2) &amp;CHAR(10)&amp; "(17.0%)"</f>
      </c>
      <c r="I106" s="47" t="str">
        <f>TRUNC(F106 * TRUNC(g106 * (1 + 17.0 / 100), 2), 2)</f>
      </c>
      <c r="J106" s="48" t="str">
        <f>i106 / 560563.81</f>
      </c>
    </row>
    <row customHeight="1" ht="39" r="107">
      <c r="A107" s="16" t="inlineStr">
        <is>
          <t> 7.2.5 </t>
        </is>
      </c>
      <c r="B107" s="18" t="inlineStr">
        <is>
          <t> 91338 </t>
        </is>
      </c>
      <c r="C107" s="16" t="inlineStr">
        <is>
          <t>SINAPI</t>
        </is>
      </c>
      <c r="D107" s="16" t="inlineStr">
        <is>
          <t>PORTA DE ALUMÍNIO DE ABRIR COM LAMBRI, COM GUARNIÇÃO, FIXAÇÃO COM PARAFUSOS - FORNECIMENTO E INSTALAÇÃO. AF_12/2019</t>
        </is>
      </c>
      <c r="E107" s="17" t="inlineStr">
        <is>
          <t>m²</t>
        </is>
      </c>
      <c r="F107" s="18" t="n">
        <v>7.6</v>
      </c>
      <c r="G107" s="19" t="n">
        <v>805.86</v>
      </c>
      <c r="H107" s="19" t="str">
        <f>TRUNC(G107 * (1 + 22.88 / 100), 2)</f>
      </c>
      <c r="I107" s="19" t="str">
        <f>TRUNC(F107 * h107, 2)</f>
      </c>
      <c r="J107" s="20" t="str">
        <f>i107 / 560563.81</f>
      </c>
    </row>
    <row customHeight="1" ht="39" r="108">
      <c r="A108" s="16" t="inlineStr">
        <is>
          <t> 7.2.6 </t>
        </is>
      </c>
      <c r="B108" s="18" t="inlineStr">
        <is>
          <t> 90831 </t>
        </is>
      </c>
      <c r="C108" s="16" t="inlineStr">
        <is>
          <t>SINAPI</t>
        </is>
      </c>
      <c r="D108" s="16" t="inlineStr">
        <is>
          <t>FECHADURA DE EMBUTIR PARA PORTA DE BANHEIRO, COMPLETA, ACABAMENTO PADRÃO MÉDIO, INCLUSO EXECUÇÃO DE FURO - FORNECIMENTO E INSTALAÇÃO. AF_12/2019</t>
        </is>
      </c>
      <c r="E108" s="17" t="inlineStr">
        <is>
          <t>UN</t>
        </is>
      </c>
      <c r="F108" s="18" t="n">
        <v>3.0</v>
      </c>
      <c r="G108" s="19" t="n">
        <v>168.5</v>
      </c>
      <c r="H108" s="19" t="str">
        <f>TRUNC(G108 * (1 + 22.88 / 100), 2)</f>
      </c>
      <c r="I108" s="19" t="str">
        <f>TRUNC(F108 * h108, 2)</f>
      </c>
      <c r="J108" s="20" t="str">
        <f>i108 / 560563.81</f>
      </c>
    </row>
    <row customHeight="1" ht="39" r="109">
      <c r="A109" s="16" t="inlineStr">
        <is>
          <t> 7.2.7 </t>
        </is>
      </c>
      <c r="B109" s="18" t="inlineStr">
        <is>
          <t> 90830 </t>
        </is>
      </c>
      <c r="C109" s="16" t="inlineStr">
        <is>
          <t>SINAPI</t>
        </is>
      </c>
      <c r="D109" s="16" t="inlineStr">
        <is>
          <t>FECHADURA DE EMBUTIR COM CILINDRO, EXTERNA, COMPLETA, ACABAMENTO PADRÃO MÉDIO, INCLUSO EXECUÇÃO DE FURO - FORNECIMENTO E INSTALAÇÃO. AF_12/2019</t>
        </is>
      </c>
      <c r="E109" s="17" t="inlineStr">
        <is>
          <t>UN</t>
        </is>
      </c>
      <c r="F109" s="18" t="n">
        <v>1.0</v>
      </c>
      <c r="G109" s="19" t="n">
        <v>191.07</v>
      </c>
      <c r="H109" s="19" t="str">
        <f>TRUNC(G109 * (1 + 22.88 / 100), 2)</f>
      </c>
      <c r="I109" s="19" t="str">
        <f>TRUNC(F109 * h109, 2)</f>
      </c>
      <c r="J109" s="20" t="str">
        <f>i109 / 560563.81</f>
      </c>
    </row>
    <row customHeight="1" ht="26" r="110">
      <c r="A110" s="16" t="inlineStr">
        <is>
          <t> 7.2.8 </t>
        </is>
      </c>
      <c r="B110" s="18" t="inlineStr">
        <is>
          <t> 100874 </t>
        </is>
      </c>
      <c r="C110" s="16" t="inlineStr">
        <is>
          <t>SINAPI</t>
        </is>
      </c>
      <c r="D110" s="16" t="inlineStr">
        <is>
          <t>PUXADOR PARA PCD, FIXADO NA PORTA - FORNECIMENTO E INSTALAÇÃO. AF_01/2020</t>
        </is>
      </c>
      <c r="E110" s="17" t="inlineStr">
        <is>
          <t>UN</t>
        </is>
      </c>
      <c r="F110" s="18" t="n">
        <v>2.0</v>
      </c>
      <c r="G110" s="19" t="n">
        <v>451.72</v>
      </c>
      <c r="H110" s="19" t="str">
        <f>TRUNC(G110 * (1 + 22.88 / 100), 2)</f>
      </c>
      <c r="I110" s="19" t="str">
        <f>TRUNC(F110 * h110, 2)</f>
      </c>
      <c r="J110" s="20" t="str">
        <f>i110 / 560563.81</f>
      </c>
    </row>
    <row customHeight="1" ht="39" r="111">
      <c r="A111" s="16" t="inlineStr">
        <is>
          <t> 7.2.9 </t>
        </is>
      </c>
      <c r="B111" s="18" t="inlineStr">
        <is>
          <t> 91338 </t>
        </is>
      </c>
      <c r="C111" s="16" t="inlineStr">
        <is>
          <t>SINAPI</t>
        </is>
      </c>
      <c r="D111" s="16" t="inlineStr">
        <is>
          <t>PORTA DE ALUMÍNIO DE ABRIR COM LAMBRI, COM GUARNIÇÃO, FIXAÇÃO COM PARAFUSOS - FORNECIMENTO E INSTALAÇÃO. AF_12/2019</t>
        </is>
      </c>
      <c r="E111" s="17" t="inlineStr">
        <is>
          <t>m²</t>
        </is>
      </c>
      <c r="F111" s="18" t="n">
        <v>1.45</v>
      </c>
      <c r="G111" s="19" t="n">
        <v>805.86</v>
      </c>
      <c r="H111" s="19" t="str">
        <f>TRUNC(G111 * (1 + 22.88 / 100), 2)</f>
      </c>
      <c r="I111" s="19" t="str">
        <f>TRUNC(F111 * h111, 2)</f>
      </c>
      <c r="J111" s="20" t="str">
        <f>i111 / 560563.81</f>
      </c>
    </row>
    <row customHeight="1" ht="24" r="112">
      <c r="A112" s="8" t="inlineStr">
        <is>
          <t> 8 </t>
        </is>
      </c>
      <c r="B112" s="8"/>
      <c r="C112" s="8"/>
      <c r="D112" s="8" t="inlineStr">
        <is>
          <t>INSTALAÇÕES HIDROSSANITÁRIAS</t>
        </is>
      </c>
      <c r="E112" s="8"/>
      <c r="F112" s="10"/>
      <c r="G112" s="8"/>
      <c r="H112" s="8"/>
      <c r="I112" s="11" t="n">
        <v>30806.29</v>
      </c>
      <c r="J112" s="12" t="str">
        <f>i112 / 560563.81</f>
      </c>
    </row>
    <row customHeight="1" ht="24" r="113">
      <c r="A113" s="8" t="inlineStr">
        <is>
          <t> 8.1 </t>
        </is>
      </c>
      <c r="B113" s="8"/>
      <c r="C113" s="8"/>
      <c r="D113" s="8" t="inlineStr">
        <is>
          <t>SANITÁRIAS</t>
        </is>
      </c>
      <c r="E113" s="8"/>
      <c r="F113" s="10"/>
      <c r="G113" s="8"/>
      <c r="H113" s="8"/>
      <c r="I113" s="11" t="n">
        <v>20473.73</v>
      </c>
      <c r="J113" s="12" t="str">
        <f>i113 / 560563.81</f>
      </c>
    </row>
    <row customHeight="1" ht="65" r="114">
      <c r="A114" s="16" t="inlineStr">
        <is>
          <t> 8.1.1 </t>
        </is>
      </c>
      <c r="B114" s="18" t="inlineStr">
        <is>
          <t> 95463 </t>
        </is>
      </c>
      <c r="C114" s="16" t="inlineStr">
        <is>
          <t>SINAPI</t>
        </is>
      </c>
      <c r="D114" s="16" t="inlineStr">
        <is>
          <t>FOSSA SÉPTICA EM ALVENARIA DE TIJOLO CERÂMICO MACIÇO, DIMENSÕES EXTERNAS DE 1,90X1,10X1,40 M, VOLUME DE 1.500 LITROS, REVESTIDO INTERNAMENTE COM MASSA ÚNICA E IMPERMEABILIZANTE E COM TAMPA DE CONCRETO ARMADO COM ESPESSURA DE 8 CM</t>
        </is>
      </c>
      <c r="E114" s="17" t="inlineStr">
        <is>
          <t>UN</t>
        </is>
      </c>
      <c r="F114" s="18" t="n">
        <v>1.0</v>
      </c>
      <c r="G114" s="19" t="n">
        <v>2610.64</v>
      </c>
      <c r="H114" s="19" t="str">
        <f>TRUNC(G114 * (1 + 22.88 / 100), 2)</f>
      </c>
      <c r="I114" s="19" t="str">
        <f>TRUNC(F114 * h114, 2)</f>
      </c>
      <c r="J114" s="20" t="str">
        <f>i114 / 560563.81</f>
      </c>
    </row>
    <row customHeight="1" ht="52" r="115">
      <c r="A115" s="16" t="inlineStr">
        <is>
          <t> 8.1.2 </t>
        </is>
      </c>
      <c r="B115" s="18" t="inlineStr">
        <is>
          <t> 98062 </t>
        </is>
      </c>
      <c r="C115" s="16" t="inlineStr">
        <is>
          <t>SINAPI</t>
        </is>
      </c>
      <c r="D115" s="16" t="inlineStr">
        <is>
          <t>SUMIDOURO CIRCULAR, EM CONCRETO PRÉ-MOLDADO, DIÂMETRO INTERNO = 1,88 M, ALTURA INTERNA = 2,00 M, ÁREA DE INFILTRAÇÃO: 13,1 M² (PARA 5 CONTRIBUINTES). AF_12/2020</t>
        </is>
      </c>
      <c r="E115" s="17" t="inlineStr">
        <is>
          <t>UN</t>
        </is>
      </c>
      <c r="F115" s="18" t="n">
        <v>1.0</v>
      </c>
      <c r="G115" s="19" t="n">
        <v>3039.19</v>
      </c>
      <c r="H115" s="19" t="str">
        <f>TRUNC(G115 * (1 + 22.88 / 100), 2)</f>
      </c>
      <c r="I115" s="19" t="str">
        <f>TRUNC(F115 * h115, 2)</f>
      </c>
      <c r="J115" s="20" t="str">
        <f>i115 / 560563.81</f>
      </c>
    </row>
    <row customHeight="1" ht="39" r="116">
      <c r="A116" s="16" t="inlineStr">
        <is>
          <t> 8.1.3 </t>
        </is>
      </c>
      <c r="B116" s="18" t="inlineStr">
        <is>
          <t> 95471 </t>
        </is>
      </c>
      <c r="C116" s="16" t="inlineStr">
        <is>
          <t>SINAPI</t>
        </is>
      </c>
      <c r="D116" s="16" t="inlineStr">
        <is>
          <t>VASO SANITARIO SIFONADO CONVENCIONAL PARA PCD SEM FURO FRONTAL COM  LOUÇA BRANCA SEM ASSENTO -  FORNECIMENTO E INSTALAÇÃO. AF_01/2020</t>
        </is>
      </c>
      <c r="E116" s="17" t="inlineStr">
        <is>
          <t>UN</t>
        </is>
      </c>
      <c r="F116" s="18" t="n">
        <v>3.0</v>
      </c>
      <c r="G116" s="19" t="n">
        <v>758.0</v>
      </c>
      <c r="H116" s="19" t="str">
        <f>TRUNC(G116 * (1 + 22.88 / 100), 2)</f>
      </c>
      <c r="I116" s="19" t="str">
        <f>TRUNC(F116 * h116, 2)</f>
      </c>
      <c r="J116" s="20" t="str">
        <f>i116 / 560563.81</f>
      </c>
    </row>
    <row customHeight="1" ht="39" r="117">
      <c r="A117" s="16" t="inlineStr">
        <is>
          <t> 8.1.4 </t>
        </is>
      </c>
      <c r="B117" s="18" t="inlineStr">
        <is>
          <t> 86904 </t>
        </is>
      </c>
      <c r="C117" s="16" t="inlineStr">
        <is>
          <t>SINAPI</t>
        </is>
      </c>
      <c r="D117" s="16" t="inlineStr">
        <is>
          <t>LAVATÓRIO LOUÇA BRANCA SUSPENSO, 29,5 X 39CM OU EQUIVALENTE, PADRÃO POPULAR - FORNECIMENTO E INSTALAÇÃO. AF_01/2020</t>
        </is>
      </c>
      <c r="E117" s="17" t="inlineStr">
        <is>
          <t>UN</t>
        </is>
      </c>
      <c r="F117" s="18" t="n">
        <v>3.0</v>
      </c>
      <c r="G117" s="19" t="n">
        <v>146.87</v>
      </c>
      <c r="H117" s="19" t="str">
        <f>TRUNC(G117 * (1 + 22.88 / 100), 2)</f>
      </c>
      <c r="I117" s="19" t="str">
        <f>TRUNC(F117 * h117, 2)</f>
      </c>
      <c r="J117" s="20" t="str">
        <f>i117 / 560563.81</f>
      </c>
    </row>
    <row customHeight="1" ht="52" r="118">
      <c r="A118" s="16" t="inlineStr">
        <is>
          <t> 8.1.5 </t>
        </is>
      </c>
      <c r="B118" s="18" t="inlineStr">
        <is>
          <t> 86935 </t>
        </is>
      </c>
      <c r="C118" s="16" t="inlineStr">
        <is>
          <t>SINAPI</t>
        </is>
      </c>
      <c r="D118" s="16" t="inlineStr">
        <is>
          <t>CUBA DE EMBUTIR DE AÇO INOXIDÁVEL MÉDIA, INCLUSO VÁLVULA TIPO AMERICANA EM METAL CROMADO E SIFÃO FLEXÍVEL EM PVC - FORNECIMENTO E INSTALAÇÃO. AF_01/2020</t>
        </is>
      </c>
      <c r="E118" s="17" t="inlineStr">
        <is>
          <t>UN</t>
        </is>
      </c>
      <c r="F118" s="18" t="n">
        <v>2.0</v>
      </c>
      <c r="G118" s="19" t="n">
        <v>347.52</v>
      </c>
      <c r="H118" s="19" t="str">
        <f>TRUNC(G118 * (1 + 22.88 / 100), 2)</f>
      </c>
      <c r="I118" s="19" t="str">
        <f>TRUNC(F118 * h118, 2)</f>
      </c>
      <c r="J118" s="20" t="str">
        <f>i118 / 560563.81</f>
      </c>
    </row>
    <row customHeight="1" ht="26" r="119">
      <c r="A119" s="16" t="inlineStr">
        <is>
          <t> 8.1.6 </t>
        </is>
      </c>
      <c r="B119" s="18" t="inlineStr">
        <is>
          <t> 95543 </t>
        </is>
      </c>
      <c r="C119" s="16" t="inlineStr">
        <is>
          <t>SINAPI</t>
        </is>
      </c>
      <c r="D119" s="16" t="inlineStr">
        <is>
          <t>PORTA TOALHA BANHO EM METAL CROMADO, TIPO BARRA, INCLUSO FIXAÇÃO. AF_01/2020</t>
        </is>
      </c>
      <c r="E119" s="17" t="inlineStr">
        <is>
          <t>UN</t>
        </is>
      </c>
      <c r="F119" s="18" t="n">
        <v>3.0</v>
      </c>
      <c r="G119" s="19" t="n">
        <v>61.5</v>
      </c>
      <c r="H119" s="19" t="str">
        <f>TRUNC(G119 * (1 + 22.88 / 100), 2)</f>
      </c>
      <c r="I119" s="19" t="str">
        <f>TRUNC(F119 * h119, 2)</f>
      </c>
      <c r="J119" s="20" t="str">
        <f>i119 / 560563.81</f>
      </c>
    </row>
    <row customHeight="1" ht="26" r="120">
      <c r="A120" s="16" t="inlineStr">
        <is>
          <t> 8.1.7 </t>
        </is>
      </c>
      <c r="B120" s="18" t="inlineStr">
        <is>
          <t> 95544 </t>
        </is>
      </c>
      <c r="C120" s="16" t="inlineStr">
        <is>
          <t>SINAPI</t>
        </is>
      </c>
      <c r="D120" s="16" t="inlineStr">
        <is>
          <t>PAPELEIRA DE PAREDE EM METAL CROMADO SEM TAMPA, INCLUSO FIXAÇÃO. AF_01/2020</t>
        </is>
      </c>
      <c r="E120" s="17" t="inlineStr">
        <is>
          <t>UN</t>
        </is>
      </c>
      <c r="F120" s="18" t="n">
        <v>3.0</v>
      </c>
      <c r="G120" s="19" t="n">
        <v>45.08</v>
      </c>
      <c r="H120" s="19" t="str">
        <f>TRUNC(G120 * (1 + 22.88 / 100), 2)</f>
      </c>
      <c r="I120" s="19" t="str">
        <f>TRUNC(F120 * h120, 2)</f>
      </c>
      <c r="J120" s="20" t="str">
        <f>i120 / 560563.81</f>
      </c>
    </row>
    <row customHeight="1" ht="39" r="121">
      <c r="A121" s="16" t="inlineStr">
        <is>
          <t> 8.1.8 </t>
        </is>
      </c>
      <c r="B121" s="18" t="inlineStr">
        <is>
          <t> 95547 </t>
        </is>
      </c>
      <c r="C121" s="16" t="inlineStr">
        <is>
          <t>SINAPI</t>
        </is>
      </c>
      <c r="D121" s="16" t="inlineStr">
        <is>
          <t>SABONETEIRA PLASTICA TIPO DISPENSER PARA SABONETE LIQUIDO COM RESERVATORIO 800 A 1500 ML, INCLUSO FIXAÇÃO. AF_01/2020</t>
        </is>
      </c>
      <c r="E121" s="17" t="inlineStr">
        <is>
          <t>UN</t>
        </is>
      </c>
      <c r="F121" s="18" t="n">
        <v>3.0</v>
      </c>
      <c r="G121" s="19" t="n">
        <v>74.5</v>
      </c>
      <c r="H121" s="19" t="str">
        <f>TRUNC(G121 * (1 + 22.88 / 100), 2)</f>
      </c>
      <c r="I121" s="19" t="str">
        <f>TRUNC(F121 * h121, 2)</f>
      </c>
      <c r="J121" s="20" t="str">
        <f>i121 / 560563.81</f>
      </c>
    </row>
    <row customHeight="1" ht="26" r="122">
      <c r="A122" s="16" t="inlineStr">
        <is>
          <t> 8.1.9 </t>
        </is>
      </c>
      <c r="B122" s="18" t="inlineStr">
        <is>
          <t> 100849 </t>
        </is>
      </c>
      <c r="C122" s="16" t="inlineStr">
        <is>
          <t>SINAPI</t>
        </is>
      </c>
      <c r="D122" s="16" t="inlineStr">
        <is>
          <t>ASSENTO SANITÁRIO CONVENCIONAL - FORNECIMENTO E INSTALACAO. AF_01/2020</t>
        </is>
      </c>
      <c r="E122" s="17" t="inlineStr">
        <is>
          <t>UN</t>
        </is>
      </c>
      <c r="F122" s="18" t="n">
        <v>3.0</v>
      </c>
      <c r="G122" s="19" t="n">
        <v>44.75</v>
      </c>
      <c r="H122" s="19" t="str">
        <f>TRUNC(G122 * (1 + 22.88 / 100), 2)</f>
      </c>
      <c r="I122" s="19" t="str">
        <f>TRUNC(F122 * h122, 2)</f>
      </c>
      <c r="J122" s="20" t="str">
        <f>i122 / 560563.81</f>
      </c>
    </row>
    <row customHeight="1" ht="26" r="123">
      <c r="A123" s="16" t="inlineStr">
        <is>
          <t> 8.1.10 </t>
        </is>
      </c>
      <c r="B123" s="18" t="inlineStr">
        <is>
          <t> 100849 </t>
        </is>
      </c>
      <c r="C123" s="16" t="inlineStr">
        <is>
          <t>SINAPI</t>
        </is>
      </c>
      <c r="D123" s="16" t="inlineStr">
        <is>
          <t>ASSENTO SANITÁRIO CONVENCIONAL - FORNECIMENTO E INSTALACAO. AF_01/2020</t>
        </is>
      </c>
      <c r="E123" s="17" t="inlineStr">
        <is>
          <t>UN</t>
        </is>
      </c>
      <c r="F123" s="18" t="n">
        <v>3.0</v>
      </c>
      <c r="G123" s="19" t="n">
        <v>44.75</v>
      </c>
      <c r="H123" s="19" t="str">
        <f>TRUNC(G123 * (1 + 22.88 / 100), 2)</f>
      </c>
      <c r="I123" s="19" t="str">
        <f>TRUNC(F123 * h123, 2)</f>
      </c>
      <c r="J123" s="20" t="str">
        <f>i123 / 560563.81</f>
      </c>
    </row>
    <row customHeight="1" ht="39" r="124">
      <c r="A124" s="16" t="inlineStr">
        <is>
          <t> 8.1.11 </t>
        </is>
      </c>
      <c r="B124" s="18" t="inlineStr">
        <is>
          <t> 89709 </t>
        </is>
      </c>
      <c r="C124" s="16" t="inlineStr">
        <is>
          <t>SINAPI</t>
        </is>
      </c>
      <c r="D124" s="16" t="inlineStr">
        <is>
          <t>RALO SIFONADO, PVC, DN 100 X 40 MM, JUNTA SOLDÁVEL, FORNECIDO E INSTALADO EM RAMAL DE DESCARGA OU EM RAMAL DE ESGOTO SANITÁRIO. AF_08/2022</t>
        </is>
      </c>
      <c r="E124" s="17" t="inlineStr">
        <is>
          <t>UN</t>
        </is>
      </c>
      <c r="F124" s="18" t="n">
        <v>5.0</v>
      </c>
      <c r="G124" s="19" t="n">
        <v>21.9</v>
      </c>
      <c r="H124" s="19" t="str">
        <f>TRUNC(G124 * (1 + 22.88 / 100), 2)</f>
      </c>
      <c r="I124" s="19" t="str">
        <f>TRUNC(F124 * h124, 2)</f>
      </c>
      <c r="J124" s="20" t="str">
        <f>i124 / 560563.81</f>
      </c>
    </row>
    <row customHeight="1" ht="52" r="125">
      <c r="A125" s="16" t="inlineStr">
        <is>
          <t> 8.1.12 </t>
        </is>
      </c>
      <c r="B125" s="18" t="inlineStr">
        <is>
          <t> 98107 </t>
        </is>
      </c>
      <c r="C125" s="16" t="inlineStr">
        <is>
          <t>SINAPI</t>
        </is>
      </c>
      <c r="D125" s="16" t="inlineStr">
        <is>
          <t>CAIXA DE GORDURA SIMPLES (CAPACIDADE: 36 L), RETANGULAR, EM ALVENARIA COM BLOCOS DE CONCRETO, DIMENSÕES INTERNAS = 0,2X0,4 M, ALTURA INTERNA = 0,8 M. AF_12/2020</t>
        </is>
      </c>
      <c r="E125" s="17" t="inlineStr">
        <is>
          <t>UN</t>
        </is>
      </c>
      <c r="F125" s="18" t="n">
        <v>1.0</v>
      </c>
      <c r="G125" s="19" t="n">
        <v>267.53</v>
      </c>
      <c r="H125" s="19" t="str">
        <f>TRUNC(G125 * (1 + 22.88 / 100), 2)</f>
      </c>
      <c r="I125" s="19" t="str">
        <f>TRUNC(F125 * h125, 2)</f>
      </c>
      <c r="J125" s="20" t="str">
        <f>i125 / 560563.81</f>
      </c>
    </row>
    <row customHeight="1" ht="39" r="126">
      <c r="A126" s="16" t="inlineStr">
        <is>
          <t> 8.1.13 </t>
        </is>
      </c>
      <c r="B126" s="18" t="inlineStr">
        <is>
          <t> 89711 </t>
        </is>
      </c>
      <c r="C126" s="16" t="inlineStr">
        <is>
          <t>SINAPI</t>
        </is>
      </c>
      <c r="D126" s="16" t="inlineStr">
        <is>
          <t>TUBO PVC, SERIE NORMAL, ESGOTO PREDIAL, DN 40 MM, FORNECIDO E INSTALADO EM RAMAL DE DESCARGA OU RAMAL DE ESGOTO SANITÁRIO. AF_08/2022</t>
        </is>
      </c>
      <c r="E126" s="17" t="inlineStr">
        <is>
          <t>M</t>
        </is>
      </c>
      <c r="F126" s="18" t="n">
        <v>16.03</v>
      </c>
      <c r="G126" s="19" t="n">
        <v>21.07</v>
      </c>
      <c r="H126" s="19" t="str">
        <f>TRUNC(G126 * (1 + 22.88 / 100), 2)</f>
      </c>
      <c r="I126" s="19" t="str">
        <f>TRUNC(F126 * h126, 2)</f>
      </c>
      <c r="J126" s="20" t="str">
        <f>i126 / 560563.81</f>
      </c>
    </row>
    <row customHeight="1" ht="39" r="127">
      <c r="A127" s="16" t="inlineStr">
        <is>
          <t> 8.1.14 </t>
        </is>
      </c>
      <c r="B127" s="18" t="inlineStr">
        <is>
          <t> 89712 </t>
        </is>
      </c>
      <c r="C127" s="16" t="inlineStr">
        <is>
          <t>SINAPI</t>
        </is>
      </c>
      <c r="D127" s="16" t="inlineStr">
        <is>
          <t>TUBO PVC, SERIE NORMAL, ESGOTO PREDIAL, DN 50 MM, FORNECIDO E INSTALADO EM RAMAL DE DESCARGA OU RAMAL DE ESGOTO SANITÁRIO. AF_08/2022</t>
        </is>
      </c>
      <c r="E127" s="17" t="inlineStr">
        <is>
          <t>M</t>
        </is>
      </c>
      <c r="F127" s="18" t="n">
        <v>18.02</v>
      </c>
      <c r="G127" s="19" t="n">
        <v>27.77</v>
      </c>
      <c r="H127" s="19" t="str">
        <f>TRUNC(G127 * (1 + 22.88 / 100), 2)</f>
      </c>
      <c r="I127" s="19" t="str">
        <f>TRUNC(F127 * h127, 2)</f>
      </c>
      <c r="J127" s="20" t="str">
        <f>i127 / 560563.81</f>
      </c>
    </row>
    <row customHeight="1" ht="39" r="128">
      <c r="A128" s="16" t="inlineStr">
        <is>
          <t> 8.1.15 </t>
        </is>
      </c>
      <c r="B128" s="18" t="inlineStr">
        <is>
          <t> 89714 </t>
        </is>
      </c>
      <c r="C128" s="16" t="inlineStr">
        <is>
          <t>SINAPI</t>
        </is>
      </c>
      <c r="D128" s="16" t="inlineStr">
        <is>
          <t>TUBO PVC, SERIE NORMAL, ESGOTO PREDIAL, DN 100 MM, FORNECIDO E INSTALADO EM RAMAL DE DESCARGA OU RAMAL DE ESGOTO SANITÁRIO. AF_08/2022</t>
        </is>
      </c>
      <c r="E128" s="17" t="inlineStr">
        <is>
          <t>M</t>
        </is>
      </c>
      <c r="F128" s="18" t="n">
        <v>28.42</v>
      </c>
      <c r="G128" s="19" t="n">
        <v>41.92</v>
      </c>
      <c r="H128" s="19" t="str">
        <f>TRUNC(G128 * (1 + 22.88 / 100), 2)</f>
      </c>
      <c r="I128" s="19" t="str">
        <f>TRUNC(F128 * h128, 2)</f>
      </c>
      <c r="J128" s="20" t="str">
        <f>i128 / 560563.81</f>
      </c>
    </row>
    <row customHeight="1" ht="52" r="129">
      <c r="A129" s="16" t="inlineStr">
        <is>
          <t> 8.1.16 </t>
        </is>
      </c>
      <c r="B129" s="18" t="inlineStr">
        <is>
          <t> 89730 </t>
        </is>
      </c>
      <c r="C129" s="16" t="inlineStr">
        <is>
          <t>SINAPI</t>
        </is>
      </c>
      <c r="D129" s="16" t="inlineStr">
        <is>
          <t>CURVA LONGA 90 GRAUS, PVC, SERIE NORMAL, ESGOTO PREDIAL, DN 40 MM, JUNTA SOLDÁVEL, FORNECIDO E INSTALADO EM RAMAL DE DESCARGA OU RAMAL DE ESGOTO SANITÁRIO. AF_08/2022</t>
        </is>
      </c>
      <c r="E129" s="17" t="inlineStr">
        <is>
          <t>UN</t>
        </is>
      </c>
      <c r="F129" s="18" t="n">
        <v>27.0</v>
      </c>
      <c r="G129" s="19" t="n">
        <v>15.09</v>
      </c>
      <c r="H129" s="19" t="str">
        <f>TRUNC(G129 * (1 + 22.88 / 100), 2)</f>
      </c>
      <c r="I129" s="19" t="str">
        <f>TRUNC(F129 * h129, 2)</f>
      </c>
      <c r="J129" s="20" t="str">
        <f>i129 / 560563.81</f>
      </c>
    </row>
    <row customHeight="1" ht="52" r="130">
      <c r="A130" s="16" t="inlineStr">
        <is>
          <t> 8.1.17 </t>
        </is>
      </c>
      <c r="B130" s="18" t="inlineStr">
        <is>
          <t> 89724 </t>
        </is>
      </c>
      <c r="C130" s="16" t="inlineStr">
        <is>
          <t>SINAPI</t>
        </is>
      </c>
      <c r="D130" s="16" t="inlineStr">
        <is>
          <t>JOELHO 90 GRAUS, PVC, SERIE NORMAL, ESGOTO PREDIAL, DN 40 MM, JUNTA SOLDÁVEL, FORNECIDO E INSTALADO EM RAMAL DE DESCARGA OU RAMAL DE ESGOTO SANITÁRIO. AF_08/2022</t>
        </is>
      </c>
      <c r="E130" s="17" t="inlineStr">
        <is>
          <t>UN</t>
        </is>
      </c>
      <c r="F130" s="18" t="n">
        <v>20.0</v>
      </c>
      <c r="G130" s="19" t="n">
        <v>12.96</v>
      </c>
      <c r="H130" s="19" t="str">
        <f>TRUNC(G130 * (1 + 22.88 / 100), 2)</f>
      </c>
      <c r="I130" s="19" t="str">
        <f>TRUNC(F130 * h130, 2)</f>
      </c>
      <c r="J130" s="20" t="str">
        <f>i130 / 560563.81</f>
      </c>
    </row>
    <row customHeight="1" ht="52" r="131">
      <c r="A131" s="16" t="inlineStr">
        <is>
          <t> 8.1.18 </t>
        </is>
      </c>
      <c r="B131" s="18" t="inlineStr">
        <is>
          <t> 89726 </t>
        </is>
      </c>
      <c r="C131" s="16" t="inlineStr">
        <is>
          <t>SINAPI</t>
        </is>
      </c>
      <c r="D131" s="16" t="inlineStr">
        <is>
          <t>JOELHO 45 GRAUS, PVC, SERIE NORMAL, ESGOTO PREDIAL, DN 40 MM, JUNTA SOLDÁVEL, FORNECIDO E INSTALADO EM RAMAL DE DESCARGA OU RAMAL DE ESGOTO SANITÁRIO. AF_08/2022</t>
        </is>
      </c>
      <c r="E131" s="17" t="inlineStr">
        <is>
          <t>UN</t>
        </is>
      </c>
      <c r="F131" s="18" t="n">
        <v>7.0</v>
      </c>
      <c r="G131" s="19" t="n">
        <v>9.24</v>
      </c>
      <c r="H131" s="19" t="str">
        <f>TRUNC(G131 * (1 + 22.88 / 100), 2)</f>
      </c>
      <c r="I131" s="19" t="str">
        <f>TRUNC(F131 * h131, 2)</f>
      </c>
      <c r="J131" s="20" t="str">
        <f>i131 / 560563.81</f>
      </c>
    </row>
    <row customHeight="1" ht="52" r="132">
      <c r="A132" s="16" t="inlineStr">
        <is>
          <t> 8.1.19 </t>
        </is>
      </c>
      <c r="B132" s="18" t="inlineStr">
        <is>
          <t> 89731 </t>
        </is>
      </c>
      <c r="C132" s="16" t="inlineStr">
        <is>
          <t>SINAPI</t>
        </is>
      </c>
      <c r="D132" s="16" t="inlineStr">
        <is>
          <t>JOELHO 90 GRAUS, PVC, SERIE NORMAL, ESGOTO PREDIAL, DN 50 MM, JUNTA ELÁSTICA, FORNECIDO E INSTALADO EM RAMAL DE DESCARGA OU RAMAL DE ESGOTO SANITÁRIO. AF_08/2022</t>
        </is>
      </c>
      <c r="E132" s="17" t="inlineStr">
        <is>
          <t>UN</t>
        </is>
      </c>
      <c r="F132" s="18" t="n">
        <v>3.0</v>
      </c>
      <c r="G132" s="19" t="n">
        <v>15.29</v>
      </c>
      <c r="H132" s="19" t="str">
        <f>TRUNC(G132 * (1 + 22.88 / 100), 2)</f>
      </c>
      <c r="I132" s="19" t="str">
        <f>TRUNC(F132 * h132, 2)</f>
      </c>
      <c r="J132" s="20" t="str">
        <f>i132 / 560563.81</f>
      </c>
    </row>
    <row customHeight="1" ht="52" r="133">
      <c r="A133" s="16" t="inlineStr">
        <is>
          <t> 8.1.20 </t>
        </is>
      </c>
      <c r="B133" s="18" t="inlineStr">
        <is>
          <t> 89732 </t>
        </is>
      </c>
      <c r="C133" s="16" t="inlineStr">
        <is>
          <t>SINAPI</t>
        </is>
      </c>
      <c r="D133" s="16" t="inlineStr">
        <is>
          <t>JOELHO 45 GRAUS, PVC, SERIE NORMAL, ESGOTO PREDIAL, DN 50 MM, JUNTA ELÁSTICA, FORNECIDO E INSTALADO EM RAMAL DE DESCARGA OU RAMAL DE ESGOTO SANITÁRIO. AF_08/2022</t>
        </is>
      </c>
      <c r="E133" s="17" t="inlineStr">
        <is>
          <t>UN</t>
        </is>
      </c>
      <c r="F133" s="18" t="n">
        <v>3.0</v>
      </c>
      <c r="G133" s="19" t="n">
        <v>16.17</v>
      </c>
      <c r="H133" s="19" t="str">
        <f>TRUNC(G133 * (1 + 22.88 / 100), 2)</f>
      </c>
      <c r="I133" s="19" t="str">
        <f>TRUNC(F133 * h133, 2)</f>
      </c>
      <c r="J133" s="20" t="str">
        <f>i133 / 560563.81</f>
      </c>
    </row>
    <row customHeight="1" ht="52" r="134">
      <c r="A134" s="16" t="inlineStr">
        <is>
          <t> 8.1.21 </t>
        </is>
      </c>
      <c r="B134" s="18" t="inlineStr">
        <is>
          <t> 89744 </t>
        </is>
      </c>
      <c r="C134" s="16" t="inlineStr">
        <is>
          <t>SINAPI</t>
        </is>
      </c>
      <c r="D134" s="16" t="inlineStr">
        <is>
          <t>JOELHO 90 GRAUS, PVC, SERIE NORMAL, ESGOTO PREDIAL, DN 100 MM, JUNTA ELÁSTICA, FORNECIDO E INSTALADO EM RAMAL DE DESCARGA OU RAMAL DE ESGOTO SANITÁRIO. AF_08/2022</t>
        </is>
      </c>
      <c r="E134" s="17" t="inlineStr">
        <is>
          <t>UN</t>
        </is>
      </c>
      <c r="F134" s="18" t="n">
        <v>7.0</v>
      </c>
      <c r="G134" s="19" t="n">
        <v>31.1</v>
      </c>
      <c r="H134" s="19" t="str">
        <f>TRUNC(G134 * (1 + 22.88 / 100), 2)</f>
      </c>
      <c r="I134" s="19" t="str">
        <f>TRUNC(F134 * h134, 2)</f>
      </c>
      <c r="J134" s="20" t="str">
        <f>i134 / 560563.81</f>
      </c>
    </row>
    <row customHeight="1" ht="52" r="135">
      <c r="A135" s="16" t="inlineStr">
        <is>
          <t> 8.1.22 </t>
        </is>
      </c>
      <c r="B135" s="18" t="inlineStr">
        <is>
          <t> 89746 </t>
        </is>
      </c>
      <c r="C135" s="16" t="inlineStr">
        <is>
          <t>SINAPI</t>
        </is>
      </c>
      <c r="D135" s="16" t="inlineStr">
        <is>
          <t>JOELHO 45 GRAUS, PVC, SERIE NORMAL, ESGOTO PREDIAL, DN 100 MM, JUNTA ELÁSTICA, FORNECIDO E INSTALADO EM RAMAL DE DESCARGA OU RAMAL DE ESGOTO SANITÁRIO. AF_08/2022</t>
        </is>
      </c>
      <c r="E135" s="17" t="inlineStr">
        <is>
          <t>UN</t>
        </is>
      </c>
      <c r="F135" s="18" t="n">
        <v>4.0</v>
      </c>
      <c r="G135" s="19" t="n">
        <v>31.02</v>
      </c>
      <c r="H135" s="19" t="str">
        <f>TRUNC(G135 * (1 + 22.88 / 100), 2)</f>
      </c>
      <c r="I135" s="19" t="str">
        <f>TRUNC(F135 * h135, 2)</f>
      </c>
      <c r="J135" s="20" t="str">
        <f>i135 / 560563.81</f>
      </c>
    </row>
    <row customHeight="1" ht="52" r="136">
      <c r="A136" s="16" t="inlineStr">
        <is>
          <t> 8.1.23 </t>
        </is>
      </c>
      <c r="B136" s="18" t="inlineStr">
        <is>
          <t> 89797 </t>
        </is>
      </c>
      <c r="C136" s="16" t="inlineStr">
        <is>
          <t>SINAPI</t>
        </is>
      </c>
      <c r="D136" s="16" t="inlineStr">
        <is>
          <t>JUNÇÃO SIMPLES, PVC, SERIE NORMAL, ESGOTO PREDIAL, DN 100 X 100 MM, JUNTA ELÁSTICA, FORNECIDO E INSTALADO EM RAMAL DE DESCARGA OU RAMAL DE ESGOTO SANITÁRIO. AF_08/2022</t>
        </is>
      </c>
      <c r="E136" s="17" t="inlineStr">
        <is>
          <t>UN</t>
        </is>
      </c>
      <c r="F136" s="18" t="n">
        <v>3.0</v>
      </c>
      <c r="G136" s="19" t="n">
        <v>58.26</v>
      </c>
      <c r="H136" s="19" t="str">
        <f>TRUNC(G136 * (1 + 22.88 / 100), 2)</f>
      </c>
      <c r="I136" s="19" t="str">
        <f>TRUNC(F136 * h136, 2)</f>
      </c>
      <c r="J136" s="20" t="str">
        <f>i136 / 560563.81</f>
      </c>
    </row>
    <row customHeight="1" ht="52" r="137">
      <c r="A137" s="16" t="inlineStr">
        <is>
          <t> 8.1.24 </t>
        </is>
      </c>
      <c r="B137" s="18" t="inlineStr">
        <is>
          <t> 89785 </t>
        </is>
      </c>
      <c r="C137" s="16" t="inlineStr">
        <is>
          <t>SINAPI</t>
        </is>
      </c>
      <c r="D137" s="16" t="inlineStr">
        <is>
          <t>JUNÇÃO SIMPLES, PVC, SERIE NORMAL, ESGOTO PREDIAL, DN 50 X 50 MM, JUNTA ELÁSTICA, FORNECIDO E INSTALADO EM RAMAL DE DESCARGA OU RAMAL DE ESGOTO SANITÁRIO. AF_08/2022</t>
        </is>
      </c>
      <c r="E137" s="17" t="inlineStr">
        <is>
          <t>UN</t>
        </is>
      </c>
      <c r="F137" s="18" t="n">
        <v>5.0</v>
      </c>
      <c r="G137" s="19" t="n">
        <v>29.14</v>
      </c>
      <c r="H137" s="19" t="str">
        <f>TRUNC(G137 * (1 + 22.88 / 100), 2)</f>
      </c>
      <c r="I137" s="19" t="str">
        <f>TRUNC(F137 * h137, 2)</f>
      </c>
      <c r="J137" s="20" t="str">
        <f>i137 / 560563.81</f>
      </c>
    </row>
    <row customHeight="1" ht="52" r="138">
      <c r="A138" s="16" t="inlineStr">
        <is>
          <t> 8.1.25 </t>
        </is>
      </c>
      <c r="B138" s="18" t="inlineStr">
        <is>
          <t> 89753 </t>
        </is>
      </c>
      <c r="C138" s="16" t="inlineStr">
        <is>
          <t>SINAPI</t>
        </is>
      </c>
      <c r="D138" s="16" t="inlineStr">
        <is>
          <t>LUVA SIMPLES, PVC, SERIE NORMAL, ESGOTO PREDIAL, DN 50 MM, JUNTA ELÁSTICA, FORNECIDO E INSTALADO EM RAMAL DE DESCARGA OU RAMAL DE ESGOTO SANITÁRIO. AF_08/2022</t>
        </is>
      </c>
      <c r="E138" s="17" t="inlineStr">
        <is>
          <t>UN</t>
        </is>
      </c>
      <c r="F138" s="18" t="n">
        <v>12.0</v>
      </c>
      <c r="G138" s="19" t="n">
        <v>9.82</v>
      </c>
      <c r="H138" s="19" t="str">
        <f>TRUNC(G138 * (1 + 22.88 / 100), 2)</f>
      </c>
      <c r="I138" s="19" t="str">
        <f>TRUNC(F138 * h138, 2)</f>
      </c>
      <c r="J138" s="20" t="str">
        <f>i138 / 560563.81</f>
      </c>
    </row>
    <row customHeight="1" ht="52" r="139">
      <c r="A139" s="16" t="inlineStr">
        <is>
          <t> 8.1.26 </t>
        </is>
      </c>
      <c r="B139" s="18" t="inlineStr">
        <is>
          <t> 89778 </t>
        </is>
      </c>
      <c r="C139" s="16" t="inlineStr">
        <is>
          <t>SINAPI</t>
        </is>
      </c>
      <c r="D139" s="16" t="inlineStr">
        <is>
          <t>LUVA SIMPLES, PVC, SERIE NORMAL, ESGOTO PREDIAL, DN 100 MM, JUNTA ELÁSTICA, FORNECIDO E INSTALADO EM RAMAL DE DESCARGA OU RAMAL DE ESGOTO SANITÁRIO. AF_08/2022</t>
        </is>
      </c>
      <c r="E139" s="17" t="inlineStr">
        <is>
          <t>UN</t>
        </is>
      </c>
      <c r="F139" s="18" t="n">
        <v>14.0</v>
      </c>
      <c r="G139" s="19" t="n">
        <v>20.13</v>
      </c>
      <c r="H139" s="19" t="str">
        <f>TRUNC(G139 * (1 + 22.88 / 100), 2)</f>
      </c>
      <c r="I139" s="19" t="str">
        <f>TRUNC(F139 * h139, 2)</f>
      </c>
      <c r="J139" s="20" t="str">
        <f>i139 / 560563.81</f>
      </c>
    </row>
    <row customHeight="1" ht="52" r="140">
      <c r="A140" s="16" t="inlineStr">
        <is>
          <t> 8.1.27 </t>
        </is>
      </c>
      <c r="B140" s="18" t="inlineStr">
        <is>
          <t> 104341 </t>
        </is>
      </c>
      <c r="C140" s="16" t="inlineStr">
        <is>
          <t>SINAPI</t>
        </is>
      </c>
      <c r="D140" s="16" t="inlineStr">
        <is>
          <t>BUCHA DE REDUÇÃO LONGA, PVC, SÉRIE NORMAL, ESGOTO PREDIAL, DN 50 X 40 MM, JUNTA SOLDÁVEL E ELÁSTICA, FORNECIDO E INSTALADO EM RAMAL DE DESCARGA OU RAMAL DE ESGOTO SANITÁRIO. AF_08/2022</t>
        </is>
      </c>
      <c r="E140" s="17" t="inlineStr">
        <is>
          <t>UN</t>
        </is>
      </c>
      <c r="F140" s="18" t="n">
        <v>6.0</v>
      </c>
      <c r="G140" s="19" t="n">
        <v>11.03</v>
      </c>
      <c r="H140" s="19" t="str">
        <f>TRUNC(G140 * (1 + 22.88 / 100), 2)</f>
      </c>
      <c r="I140" s="19" t="str">
        <f>TRUNC(F140 * h140, 2)</f>
      </c>
      <c r="J140" s="20" t="str">
        <f>i140 / 560563.81</f>
      </c>
    </row>
    <row customHeight="1" ht="39" r="141">
      <c r="A141" s="16" t="inlineStr">
        <is>
          <t> 8.1.28 </t>
        </is>
      </c>
      <c r="B141" s="18" t="inlineStr">
        <is>
          <t> 100867 </t>
        </is>
      </c>
      <c r="C141" s="16" t="inlineStr">
        <is>
          <t>SINAPI</t>
        </is>
      </c>
      <c r="D141" s="16" t="inlineStr">
        <is>
          <t>BARRA DE APOIO RETA, EM ACO INOX POLIDO, COMPRIMENTO 70 CM,  FIXADA NA PAREDE - FORNECIMENTO E INSTALAÇÃO. AF_01/2020</t>
        </is>
      </c>
      <c r="E141" s="17" t="inlineStr">
        <is>
          <t>UN</t>
        </is>
      </c>
      <c r="F141" s="18" t="n">
        <v>5.0</v>
      </c>
      <c r="G141" s="19" t="n">
        <v>486.14</v>
      </c>
      <c r="H141" s="19" t="str">
        <f>TRUNC(G141 * (1 + 22.88 / 100), 2)</f>
      </c>
      <c r="I141" s="19" t="str">
        <f>TRUNC(F141 * h141, 2)</f>
      </c>
      <c r="J141" s="20" t="str">
        <f>i141 / 560563.81</f>
      </c>
    </row>
    <row customHeight="1" ht="24" r="142">
      <c r="A142" s="8" t="inlineStr">
        <is>
          <t> 8.2 </t>
        </is>
      </c>
      <c r="B142" s="8"/>
      <c r="C142" s="8"/>
      <c r="D142" s="8" t="inlineStr">
        <is>
          <t>DRENOS E PLUVIAL</t>
        </is>
      </c>
      <c r="E142" s="8"/>
      <c r="F142" s="10"/>
      <c r="G142" s="8"/>
      <c r="H142" s="8"/>
      <c r="I142" s="11" t="n">
        <v>1607.79</v>
      </c>
      <c r="J142" s="12" t="str">
        <f>i142 / 560563.81</f>
      </c>
    </row>
    <row customHeight="1" ht="39" r="143">
      <c r="A143" s="16" t="inlineStr">
        <is>
          <t> 8.2.1 </t>
        </is>
      </c>
      <c r="B143" s="18" t="inlineStr">
        <is>
          <t> 89578 </t>
        </is>
      </c>
      <c r="C143" s="16" t="inlineStr">
        <is>
          <t>SINAPI</t>
        </is>
      </c>
      <c r="D143" s="16" t="inlineStr">
        <is>
          <t>TUBO PVC, SÉRIE R, ÁGUA PLUVIAL, DN 100 MM, FORNECIDO E INSTALADO EM CONDUTORES VERTICAIS DE ÁGUAS PLUVIAIS. AF_06/2022</t>
        </is>
      </c>
      <c r="E143" s="17" t="inlineStr">
        <is>
          <t>M</t>
        </is>
      </c>
      <c r="F143" s="18" t="n">
        <v>6.6</v>
      </c>
      <c r="G143" s="19" t="n">
        <v>57.76</v>
      </c>
      <c r="H143" s="19" t="str">
        <f>TRUNC(G143 * (1 + 22.88 / 100), 2)</f>
      </c>
      <c r="I143" s="19" t="str">
        <f>TRUNC(F143 * h143, 2)</f>
      </c>
      <c r="J143" s="20" t="str">
        <f>i143 / 560563.81</f>
      </c>
    </row>
    <row customHeight="1" ht="39" r="144">
      <c r="A144" s="16" t="inlineStr">
        <is>
          <t> 8.2.2 </t>
        </is>
      </c>
      <c r="B144" s="18" t="inlineStr">
        <is>
          <t> 89584 </t>
        </is>
      </c>
      <c r="C144" s="16" t="inlineStr">
        <is>
          <t>SINAPI</t>
        </is>
      </c>
      <c r="D144" s="16" t="inlineStr">
        <is>
          <t>JOELHO 90 GRAUS, PVC, SERIE R, ÁGUA PLUVIAL, DN 100 MM, JUNTA ELÁSTICA, FORNECIDO E INSTALADO EM CONDUTORES VERTICAIS DE ÁGUAS PLUVIAIS. AF_06/2022</t>
        </is>
      </c>
      <c r="E144" s="17" t="inlineStr">
        <is>
          <t>UN</t>
        </is>
      </c>
      <c r="F144" s="18" t="n">
        <v>4.0</v>
      </c>
      <c r="G144" s="19" t="n">
        <v>68.37</v>
      </c>
      <c r="H144" s="19" t="str">
        <f>TRUNC(G144 * (1 + 22.88 / 100), 2)</f>
      </c>
      <c r="I144" s="19" t="str">
        <f>TRUNC(F144 * h144, 2)</f>
      </c>
      <c r="J144" s="20" t="str">
        <f>i144 / 560563.81</f>
      </c>
    </row>
    <row customHeight="1" ht="39" r="145">
      <c r="A145" s="16" t="inlineStr">
        <is>
          <t> 8.2.3 </t>
        </is>
      </c>
      <c r="B145" s="18" t="inlineStr">
        <is>
          <t> 104315 </t>
        </is>
      </c>
      <c r="C145" s="16" t="inlineStr">
        <is>
          <t>SINAPI</t>
        </is>
      </c>
      <c r="D145" s="16" t="inlineStr">
        <is>
          <t>TUBO, PVC, SOLDÁVEL, DN 20 MM, INSTALADO EM DRENO DE AR CONDICIONADO - FORNECIMENTO E INSTALAÇÃO. AF_08/2022</t>
        </is>
      </c>
      <c r="E145" s="17" t="inlineStr">
        <is>
          <t>M</t>
        </is>
      </c>
      <c r="F145" s="18" t="n">
        <v>35.0</v>
      </c>
      <c r="G145" s="19" t="n">
        <v>16.32</v>
      </c>
      <c r="H145" s="19" t="str">
        <f>TRUNC(G145 * (1 + 22.88 / 100), 2)</f>
      </c>
      <c r="I145" s="19" t="str">
        <f>TRUNC(F145 * h145, 2)</f>
      </c>
      <c r="J145" s="20" t="str">
        <f>i145 / 560563.81</f>
      </c>
    </row>
    <row customHeight="1" ht="26" r="146">
      <c r="A146" s="16" t="inlineStr">
        <is>
          <t> 8.2.4 </t>
        </is>
      </c>
      <c r="B146" s="18" t="inlineStr">
        <is>
          <t> 103288 </t>
        </is>
      </c>
      <c r="C146" s="16" t="inlineStr">
        <is>
          <t>SINAPI</t>
        </is>
      </c>
      <c r="D146" s="16" t="inlineStr">
        <is>
          <t>RASGO E CHUMBAMENTO EM ALVENARIA PARA TUBOS DE SPLIT PAREDE DE 9000 A 24000 BTUS/H. AF_11/2021</t>
        </is>
      </c>
      <c r="E146" s="17" t="inlineStr">
        <is>
          <t>UN</t>
        </is>
      </c>
      <c r="F146" s="18" t="n">
        <v>5.0</v>
      </c>
      <c r="G146" s="19" t="n">
        <v>16.54</v>
      </c>
      <c r="H146" s="19" t="str">
        <f>TRUNC(G146 * (1 + 22.88 / 100), 2)</f>
      </c>
      <c r="I146" s="19" t="str">
        <f>TRUNC(F146 * h146, 2)</f>
      </c>
      <c r="J146" s="20" t="str">
        <f>i146 / 560563.81</f>
      </c>
    </row>
    <row customHeight="1" ht="24" r="147">
      <c r="A147" s="8" t="inlineStr">
        <is>
          <t> 8.3 </t>
        </is>
      </c>
      <c r="B147" s="8"/>
      <c r="C147" s="8"/>
      <c r="D147" s="8" t="inlineStr">
        <is>
          <t>HIDRAULICA</t>
        </is>
      </c>
      <c r="E147" s="8"/>
      <c r="F147" s="10"/>
      <c r="G147" s="8"/>
      <c r="H147" s="8"/>
      <c r="I147" s="11" t="n">
        <v>8724.77</v>
      </c>
      <c r="J147" s="12" t="str">
        <f>i147 / 560563.81</f>
      </c>
    </row>
    <row customHeight="1" ht="65" r="148">
      <c r="A148" s="16" t="inlineStr">
        <is>
          <t> 8.3.1 </t>
        </is>
      </c>
      <c r="B148" s="18" t="inlineStr">
        <is>
          <t> 91785 </t>
        </is>
      </c>
      <c r="C148" s="16" t="inlineStr">
        <is>
          <t>SINAPI</t>
        </is>
      </c>
      <c r="D148" s="16" t="inlineStr">
        <is>
          <t>(COMPOSIÇÃO REPRESENTATIVA) DO SERVIÇO DE INSTALAÇÃO DE TUBOS DE PVC, SOLDÁVEL, ÁGUA FRIA, DN 25 MM (INSTALADO EM RAMAL, SUB-RAMAL, RAMAL DE DISTRIBUIÇÃO OU PRUMADA), INCLUSIVE CONEXÕES, CORTES E FIXAÇÕES, PARA PRÉDIOS. AF_10/2015</t>
        </is>
      </c>
      <c r="E148" s="17" t="inlineStr">
        <is>
          <t>M</t>
        </is>
      </c>
      <c r="F148" s="18" t="n">
        <v>50.51</v>
      </c>
      <c r="G148" s="19" t="n">
        <v>45.94</v>
      </c>
      <c r="H148" s="19" t="str">
        <f>TRUNC(G148 * (1 + 22.88 / 100), 2)</f>
      </c>
      <c r="I148" s="19" t="str">
        <f>TRUNC(F148 * h148, 2)</f>
      </c>
      <c r="J148" s="20" t="str">
        <f>i148 / 560563.81</f>
      </c>
    </row>
    <row customHeight="1" ht="65" r="149">
      <c r="A149" s="16" t="inlineStr">
        <is>
          <t> 8.3.2 </t>
        </is>
      </c>
      <c r="B149" s="18" t="inlineStr">
        <is>
          <t> 91786 </t>
        </is>
      </c>
      <c r="C149" s="16" t="inlineStr">
        <is>
          <t>SINAPI</t>
        </is>
      </c>
      <c r="D149" s="16" t="inlineStr">
        <is>
          <t>(COMPOSIÇÃO REPRESENTATIVA) DO SERVIÇO DE INSTALAÇÃO TUBOS DE PVC, SOLDÁVEL, ÁGUA FRIA, DN 32 MM (INSTALADO EM RAMAL, SUB-RAMAL, RAMAL DE DISTRIBUIÇÃO OU PRUMADA), INCLUSIVE CONEXÕES, CORTES E FIXAÇÕES, PARA PRÉDIOS. AF_10/2015</t>
        </is>
      </c>
      <c r="E149" s="17" t="inlineStr">
        <is>
          <t>M</t>
        </is>
      </c>
      <c r="F149" s="18" t="n">
        <v>11.19</v>
      </c>
      <c r="G149" s="19" t="n">
        <v>28.63</v>
      </c>
      <c r="H149" s="19" t="str">
        <f>TRUNC(G149 * (1 + 22.88 / 100), 2)</f>
      </c>
      <c r="I149" s="19" t="str">
        <f>TRUNC(F149 * h149, 2)</f>
      </c>
      <c r="J149" s="20" t="str">
        <f>i149 / 560563.81</f>
      </c>
    </row>
    <row customHeight="1" ht="52" r="150">
      <c r="A150" s="16" t="inlineStr">
        <is>
          <t> 8.3.3 </t>
        </is>
      </c>
      <c r="B150" s="18" t="inlineStr">
        <is>
          <t> 91787 </t>
        </is>
      </c>
      <c r="C150" s="16" t="inlineStr">
        <is>
          <t>SINAPI</t>
        </is>
      </c>
      <c r="D150" s="16" t="inlineStr">
        <is>
          <t>(COMPOSIÇÃO REPRESENTATIVA) DO SERVIÇO DE INSTALAÇÃO DE TUBOS DE PVC, SOLDÁVEL, ÁGUA FRIA, DN 40 MM (INSTALADO EM PRUMADA), INCLUSIVE CONEXÕES, CORTES E FIXAÇÕES, PARA PRÉDIOS. AF_10/2015</t>
        </is>
      </c>
      <c r="E150" s="17" t="inlineStr">
        <is>
          <t>M</t>
        </is>
      </c>
      <c r="F150" s="18" t="n">
        <v>2.17</v>
      </c>
      <c r="G150" s="19" t="n">
        <v>59.64</v>
      </c>
      <c r="H150" s="19" t="str">
        <f>TRUNC(G150 * (1 + 22.88 / 100), 2)</f>
      </c>
      <c r="I150" s="19" t="str">
        <f>TRUNC(F150 * h150, 2)</f>
      </c>
      <c r="J150" s="20" t="str">
        <f>i150 / 560563.81</f>
      </c>
    </row>
    <row customHeight="1" ht="52" r="151">
      <c r="A151" s="16" t="inlineStr">
        <is>
          <t> 8.3.4 </t>
        </is>
      </c>
      <c r="B151" s="18" t="inlineStr">
        <is>
          <t> 91788 </t>
        </is>
      </c>
      <c r="C151" s="16" t="inlineStr">
        <is>
          <t>SINAPI</t>
        </is>
      </c>
      <c r="D151" s="16" t="inlineStr">
        <is>
          <t>(COMPOSIÇÃO REPRESENTATIVA) DO SERVIÇO DE INSTALAÇÃO DE TUBOS DE PVC, SOLDÁVEL, ÁGUA FRIA, DN 50 MM (INSTALADO EM PRUMADA), INCLUSIVE CONEXÕES, CORTES E FIXAÇÕES, PARA PRÉDIOS. AF_10/2015</t>
        </is>
      </c>
      <c r="E151" s="17" t="inlineStr">
        <is>
          <t>M</t>
        </is>
      </c>
      <c r="F151" s="18" t="n">
        <v>11.57</v>
      </c>
      <c r="G151" s="19" t="n">
        <v>49.43</v>
      </c>
      <c r="H151" s="19" t="str">
        <f>TRUNC(G151 * (1 + 22.88 / 100), 2)</f>
      </c>
      <c r="I151" s="19" t="str">
        <f>TRUNC(F151 * h151, 2)</f>
      </c>
      <c r="J151" s="20" t="str">
        <f>i151 / 560563.81</f>
      </c>
    </row>
    <row customHeight="1" ht="39" r="152">
      <c r="A152" s="16" t="inlineStr">
        <is>
          <t> 8.3.5 </t>
        </is>
      </c>
      <c r="B152" s="18" t="inlineStr">
        <is>
          <t> 102622 </t>
        </is>
      </c>
      <c r="C152" s="16" t="inlineStr">
        <is>
          <t>SINAPI</t>
        </is>
      </c>
      <c r="D152" s="16" t="inlineStr">
        <is>
          <t>CAIXA D´ÁGUA EM POLIETILENO, 500 LITROS (INCLUSOS TUBOS, CONEXÕES E TORNEIRA DE BÓIA) - FORNECIMENTO E INSTALAÇÃO. AF_06/2021</t>
        </is>
      </c>
      <c r="E152" s="17" t="inlineStr">
        <is>
          <t>UN</t>
        </is>
      </c>
      <c r="F152" s="18" t="n">
        <v>2.0</v>
      </c>
      <c r="G152" s="19" t="n">
        <v>629.61</v>
      </c>
      <c r="H152" s="19" t="str">
        <f>TRUNC(G152 * (1 + 22.88 / 100), 2)</f>
      </c>
      <c r="I152" s="19" t="str">
        <f>TRUNC(F152 * h152, 2)</f>
      </c>
      <c r="J152" s="20" t="str">
        <f>i152 / 560563.81</f>
      </c>
    </row>
    <row customHeight="1" ht="39" r="153">
      <c r="A153" s="16" t="inlineStr">
        <is>
          <t> 8.3.6 </t>
        </is>
      </c>
      <c r="B153" s="18" t="inlineStr">
        <is>
          <t> 99635 </t>
        </is>
      </c>
      <c r="C153" s="16" t="inlineStr">
        <is>
          <t>SINAPI</t>
        </is>
      </c>
      <c r="D153" s="16" t="inlineStr">
        <is>
          <t>VÁLVULA DE DESCARGA METÁLICA, BASE 1 1/2", ACABAMENTO METALICO CROMADO - FORNECIMENTO E INSTALAÇÃO. AF_08/2021</t>
        </is>
      </c>
      <c r="E153" s="17" t="inlineStr">
        <is>
          <t>UN</t>
        </is>
      </c>
      <c r="F153" s="18" t="n">
        <v>3.0</v>
      </c>
      <c r="G153" s="19" t="n">
        <v>198.66</v>
      </c>
      <c r="H153" s="19" t="str">
        <f>TRUNC(G153 * (1 + 22.88 / 100), 2)</f>
      </c>
      <c r="I153" s="19" t="str">
        <f>TRUNC(F153 * h153, 2)</f>
      </c>
      <c r="J153" s="20" t="str">
        <f>i153 / 560563.81</f>
      </c>
    </row>
    <row customHeight="1" ht="26" r="154">
      <c r="A154" s="16" t="inlineStr">
        <is>
          <t> 8.3.7 </t>
        </is>
      </c>
      <c r="B154" s="18" t="inlineStr">
        <is>
          <t> 94492 </t>
        </is>
      </c>
      <c r="C154" s="16" t="inlineStr">
        <is>
          <t>SINAPI</t>
        </is>
      </c>
      <c r="D154" s="16" t="inlineStr">
        <is>
          <t>REGISTRO DE ESFERA, PVC, SOLDÁVEL, COM VOLANTE, DN  50 MM - FORNECIMENTO E INSTALAÇÃO. AF_08/2021</t>
        </is>
      </c>
      <c r="E154" s="17" t="inlineStr">
        <is>
          <t>UN</t>
        </is>
      </c>
      <c r="F154" s="18" t="n">
        <v>5.0</v>
      </c>
      <c r="G154" s="19" t="n">
        <v>61.44</v>
      </c>
      <c r="H154" s="19" t="str">
        <f>TRUNC(G154 * (1 + 22.88 / 100), 2)</f>
      </c>
      <c r="I154" s="19" t="str">
        <f>TRUNC(F154 * h154, 2)</f>
      </c>
      <c r="J154" s="20" t="str">
        <f>i154 / 560563.81</f>
      </c>
    </row>
    <row customHeight="1" ht="26" r="155">
      <c r="A155" s="16" t="inlineStr">
        <is>
          <t> 8.3.8 </t>
        </is>
      </c>
      <c r="B155" s="18" t="inlineStr">
        <is>
          <t> 94490 </t>
        </is>
      </c>
      <c r="C155" s="16" t="inlineStr">
        <is>
          <t>SINAPI</t>
        </is>
      </c>
      <c r="D155" s="16" t="inlineStr">
        <is>
          <t>REGISTRO DE ESFERA, PVC, SOLDÁVEL, COM VOLANTE, DN  32 MM - FORNECIMENTO E INSTALAÇÃO. AF_08/2021</t>
        </is>
      </c>
      <c r="E155" s="17" t="inlineStr">
        <is>
          <t>UN</t>
        </is>
      </c>
      <c r="F155" s="18" t="n">
        <v>2.0</v>
      </c>
      <c r="G155" s="19" t="n">
        <v>43.76</v>
      </c>
      <c r="H155" s="19" t="str">
        <f>TRUNC(G155 * (1 + 22.88 / 100), 2)</f>
      </c>
      <c r="I155" s="19" t="str">
        <f>TRUNC(F155 * h155, 2)</f>
      </c>
      <c r="J155" s="20" t="str">
        <f>i155 / 560563.81</f>
      </c>
    </row>
    <row customHeight="1" ht="26" r="156">
      <c r="A156" s="16" t="inlineStr">
        <is>
          <t> 8.3.9 </t>
        </is>
      </c>
      <c r="B156" s="18" t="inlineStr">
        <is>
          <t> 94489 </t>
        </is>
      </c>
      <c r="C156" s="16" t="inlineStr">
        <is>
          <t>SINAPI</t>
        </is>
      </c>
      <c r="D156" s="16" t="inlineStr">
        <is>
          <t>REGISTRO DE ESFERA, PVC, SOLDÁVEL, COM VOLANTE, DN  25 MM - FORNECIMENTO E INSTALAÇÃO. AF_08/2021</t>
        </is>
      </c>
      <c r="E156" s="17" t="inlineStr">
        <is>
          <t>UN</t>
        </is>
      </c>
      <c r="F156" s="18" t="n">
        <v>3.0</v>
      </c>
      <c r="G156" s="19" t="n">
        <v>29.56</v>
      </c>
      <c r="H156" s="19" t="str">
        <f>TRUNC(G156 * (1 + 22.88 / 100), 2)</f>
      </c>
      <c r="I156" s="19" t="str">
        <f>TRUNC(F156 * h156, 2)</f>
      </c>
      <c r="J156" s="20" t="str">
        <f>i156 / 560563.81</f>
      </c>
    </row>
    <row customHeight="1" ht="26" r="157">
      <c r="A157" s="16" t="inlineStr">
        <is>
          <t> 8.3.10 </t>
        </is>
      </c>
      <c r="B157" s="18" t="inlineStr">
        <is>
          <t> 200067 </t>
        </is>
      </c>
      <c r="C157" s="16" t="inlineStr">
        <is>
          <t>SBC</t>
        </is>
      </c>
      <c r="D157" s="16" t="inlineStr">
        <is>
          <t>BANCADA SECA EM MARMORE BRANCO ITAUNA ESPESSURA 3cm</t>
        </is>
      </c>
      <c r="E157" s="17" t="inlineStr">
        <is>
          <t>m²</t>
        </is>
      </c>
      <c r="F157" s="18" t="n">
        <v>2.36</v>
      </c>
      <c r="G157" s="19" t="n">
        <v>601.59</v>
      </c>
      <c r="H157" s="19" t="str">
        <f>TRUNC(G157 * (1 + 22.88 / 100), 2)</f>
      </c>
      <c r="I157" s="19" t="str">
        <f>TRUNC(F157 * h157, 2)</f>
      </c>
      <c r="J157" s="20" t="str">
        <f>i157 / 560563.81</f>
      </c>
    </row>
    <row customHeight="1" ht="24" r="158">
      <c r="A158" s="8" t="inlineStr">
        <is>
          <t> 9 </t>
        </is>
      </c>
      <c r="B158" s="8"/>
      <c r="C158" s="8"/>
      <c r="D158" s="8" t="inlineStr">
        <is>
          <t>INSTALAÇÕES ELÉTRICAS</t>
        </is>
      </c>
      <c r="E158" s="8"/>
      <c r="F158" s="10"/>
      <c r="G158" s="8"/>
      <c r="H158" s="8"/>
      <c r="I158" s="11" t="n">
        <v>23186.32</v>
      </c>
      <c r="J158" s="12" t="str">
        <f>i158 / 560563.81</f>
      </c>
    </row>
    <row customHeight="1" ht="39" r="159">
      <c r="A159" s="16" t="inlineStr">
        <is>
          <t> 9.1 </t>
        </is>
      </c>
      <c r="B159" s="18" t="inlineStr">
        <is>
          <t> 91837 </t>
        </is>
      </c>
      <c r="C159" s="16" t="inlineStr">
        <is>
          <t>SINAPI</t>
        </is>
      </c>
      <c r="D159" s="16" t="inlineStr">
        <is>
          <t>ELETRODUTO FLEXÍVEL CORRUGADO REFORÇADO, PVC, DN 32 MM (1"), PARA CIRCUITOS TERMINAIS, INSTALADO EM FORRO - FORNECIMENTO E INSTALAÇÃO. AF_12/2015</t>
        </is>
      </c>
      <c r="E159" s="17" t="inlineStr">
        <is>
          <t>M</t>
        </is>
      </c>
      <c r="F159" s="18" t="n">
        <v>239.35</v>
      </c>
      <c r="G159" s="19" t="n">
        <v>15.75</v>
      </c>
      <c r="H159" s="19" t="str">
        <f>TRUNC(G159 * (1 + 22.88 / 100), 2)</f>
      </c>
      <c r="I159" s="19" t="str">
        <f>TRUNC(F159 * h159, 2)</f>
      </c>
      <c r="J159" s="20" t="str">
        <f>i159 / 560563.81</f>
      </c>
    </row>
    <row customHeight="1" ht="39" r="160">
      <c r="A160" s="16" t="inlineStr">
        <is>
          <t> 9.2 </t>
        </is>
      </c>
      <c r="B160" s="18" t="inlineStr">
        <is>
          <t> 91925 </t>
        </is>
      </c>
      <c r="C160" s="16" t="inlineStr">
        <is>
          <t>SINAPI</t>
        </is>
      </c>
      <c r="D160" s="16" t="inlineStr">
        <is>
          <t>CABO DE COBRE FLEXÍVEL ISOLADO, 1,5 MM², ANTI-CHAMA 0,6/1,0 KV, PARA CIRCUITOS TERMINAIS - FORNECIMENTO E INSTALAÇÃO. AF_12/2015</t>
        </is>
      </c>
      <c r="E160" s="17" t="inlineStr">
        <is>
          <t>M</t>
        </is>
      </c>
      <c r="F160" s="18" t="n">
        <v>268.71</v>
      </c>
      <c r="G160" s="19" t="n">
        <v>3.31</v>
      </c>
      <c r="H160" s="19" t="str">
        <f>TRUNC(G160 * (1 + 22.88 / 100), 2)</f>
      </c>
      <c r="I160" s="19" t="str">
        <f>TRUNC(F160 * h160, 2)</f>
      </c>
      <c r="J160" s="20" t="str">
        <f>i160 / 560563.81</f>
      </c>
    </row>
    <row customHeight="1" ht="39" r="161">
      <c r="A161" s="16" t="inlineStr">
        <is>
          <t> 9.3 </t>
        </is>
      </c>
      <c r="B161" s="18" t="inlineStr">
        <is>
          <t> 91927 </t>
        </is>
      </c>
      <c r="C161" s="16" t="inlineStr">
        <is>
          <t>SINAPI</t>
        </is>
      </c>
      <c r="D161" s="16" t="inlineStr">
        <is>
          <t>CABO DE COBRE FLEXÍVEL ISOLADO, 2,5 MM², ANTI-CHAMA 0,6/1,0 KV, PARA CIRCUITOS TERMINAIS - FORNECIMENTO E INSTALAÇÃO. AF_12/2015</t>
        </is>
      </c>
      <c r="E161" s="17" t="inlineStr">
        <is>
          <t>M</t>
        </is>
      </c>
      <c r="F161" s="18" t="n">
        <v>248.94</v>
      </c>
      <c r="G161" s="19" t="n">
        <v>4.45</v>
      </c>
      <c r="H161" s="19" t="str">
        <f>TRUNC(G161 * (1 + 22.88 / 100), 2)</f>
      </c>
      <c r="I161" s="19" t="str">
        <f>TRUNC(F161 * h161, 2)</f>
      </c>
      <c r="J161" s="20" t="str">
        <f>i161 / 560563.81</f>
      </c>
    </row>
    <row customHeight="1" ht="39" r="162">
      <c r="A162" s="16" t="inlineStr">
        <is>
          <t> 9.4 </t>
        </is>
      </c>
      <c r="B162" s="18" t="inlineStr">
        <is>
          <t> 91929 </t>
        </is>
      </c>
      <c r="C162" s="16" t="inlineStr">
        <is>
          <t>SINAPI</t>
        </is>
      </c>
      <c r="D162" s="16" t="inlineStr">
        <is>
          <t>CABO DE COBRE FLEXÍVEL ISOLADO, 4 MM², ANTI-CHAMA 0,6/1,0 KV, PARA CIRCUITOS TERMINAIS - FORNECIMENTO E INSTALAÇÃO. AF_12/2015</t>
        </is>
      </c>
      <c r="E162" s="17" t="inlineStr">
        <is>
          <t>M</t>
        </is>
      </c>
      <c r="F162" s="18" t="n">
        <v>563.61</v>
      </c>
      <c r="G162" s="19" t="n">
        <v>6.54</v>
      </c>
      <c r="H162" s="19" t="str">
        <f>TRUNC(G162 * (1 + 22.88 / 100), 2)</f>
      </c>
      <c r="I162" s="19" t="str">
        <f>TRUNC(F162 * h162, 2)</f>
      </c>
      <c r="J162" s="20" t="str">
        <f>i162 / 560563.81</f>
      </c>
    </row>
    <row customHeight="1" ht="39" r="163">
      <c r="A163" s="16" t="inlineStr">
        <is>
          <t> 9.5 </t>
        </is>
      </c>
      <c r="B163" s="18" t="inlineStr">
        <is>
          <t> 91931 </t>
        </is>
      </c>
      <c r="C163" s="16" t="inlineStr">
        <is>
          <t>SINAPI</t>
        </is>
      </c>
      <c r="D163" s="16" t="inlineStr">
        <is>
          <t>CABO DE COBRE FLEXÍVEL ISOLADO, 6 MM², ANTI-CHAMA 0,6/1,0 KV, PARA CIRCUITOS TERMINAIS - FORNECIMENTO E INSTALAÇÃO. AF_12/2015</t>
        </is>
      </c>
      <c r="E163" s="17" t="inlineStr">
        <is>
          <t>M</t>
        </is>
      </c>
      <c r="F163" s="18" t="n">
        <v>132.3</v>
      </c>
      <c r="G163" s="19" t="n">
        <v>9.21</v>
      </c>
      <c r="H163" s="19" t="str">
        <f>TRUNC(G163 * (1 + 22.88 / 100), 2)</f>
      </c>
      <c r="I163" s="19" t="str">
        <f>TRUNC(F163 * h163, 2)</f>
      </c>
      <c r="J163" s="20" t="str">
        <f>i163 / 560563.81</f>
      </c>
    </row>
    <row customHeight="1" ht="52" r="164">
      <c r="A164" s="16" t="inlineStr">
        <is>
          <t> 9.6 </t>
        </is>
      </c>
      <c r="B164" s="18" t="inlineStr">
        <is>
          <t> 101880 </t>
        </is>
      </c>
      <c r="C164" s="16" t="inlineStr">
        <is>
          <t>SINAPI</t>
        </is>
      </c>
      <c r="D164" s="16" t="inlineStr">
        <is>
          <t>QUADRO DE DISTRIBUIÇÃO DE ENERGIA EM CHAPA DE AÇO GALVANIZADO, DE EMBUTIR, COM BARRAMENTO TRIFÁSICO, PARA 30 DISJUNTORES DIN 150A - FORNECIMENTO E INSTALAÇÃO. AF_10/2020</t>
        </is>
      </c>
      <c r="E164" s="17" t="inlineStr">
        <is>
          <t>UN</t>
        </is>
      </c>
      <c r="F164" s="18" t="n">
        <v>1.0</v>
      </c>
      <c r="G164" s="19" t="n">
        <v>835.25</v>
      </c>
      <c r="H164" s="19" t="str">
        <f>TRUNC(G164 * (1 + 22.88 / 100), 2)</f>
      </c>
      <c r="I164" s="19" t="str">
        <f>TRUNC(F164 * h164, 2)</f>
      </c>
      <c r="J164" s="20" t="str">
        <f>i164 / 560563.81</f>
      </c>
    </row>
    <row customHeight="1" ht="26" r="165">
      <c r="A165" s="16" t="inlineStr">
        <is>
          <t> 9.7 </t>
        </is>
      </c>
      <c r="B165" s="18" t="inlineStr">
        <is>
          <t> 90456 </t>
        </is>
      </c>
      <c r="C165" s="16" t="inlineStr">
        <is>
          <t>SINAPI</t>
        </is>
      </c>
      <c r="D165" s="16" t="inlineStr">
        <is>
          <t>QUEBRA EM ALVENARIA PARA INSTALAÇÃO DE CAIXA DE TOMADA (4X4 OU 4X2). AF_05/2015</t>
        </is>
      </c>
      <c r="E165" s="17" t="inlineStr">
        <is>
          <t>UN</t>
        </is>
      </c>
      <c r="F165" s="18" t="n">
        <v>62.0</v>
      </c>
      <c r="G165" s="19" t="n">
        <v>4.0</v>
      </c>
      <c r="H165" s="19" t="str">
        <f>TRUNC(G165 * (1 + 22.88 / 100), 2)</f>
      </c>
      <c r="I165" s="19" t="str">
        <f>TRUNC(F165 * h165, 2)</f>
      </c>
      <c r="J165" s="20" t="str">
        <f>i165 / 560563.81</f>
      </c>
    </row>
    <row customHeight="1" ht="39" r="166">
      <c r="A166" s="16" t="inlineStr">
        <is>
          <t> 9.8 </t>
        </is>
      </c>
      <c r="B166" s="18" t="inlineStr">
        <is>
          <t> 92023 </t>
        </is>
      </c>
      <c r="C166" s="16" t="inlineStr">
        <is>
          <t>SINAPI</t>
        </is>
      </c>
      <c r="D166" s="16" t="inlineStr">
        <is>
          <t>INTERRUPTOR SIMPLES (1 MÓDULO) COM 1 TOMADA DE EMBUTIR 2P+T 10 A,  INCLUINDO SUPORTE E PLACA - FORNECIMENTO E INSTALAÇÃO. AF_12/2015</t>
        </is>
      </c>
      <c r="E166" s="17" t="inlineStr">
        <is>
          <t>UN</t>
        </is>
      </c>
      <c r="F166" s="18" t="n">
        <v>3.0</v>
      </c>
      <c r="G166" s="19" t="n">
        <v>42.59</v>
      </c>
      <c r="H166" s="19" t="str">
        <f>TRUNC(G166 * (1 + 22.88 / 100), 2)</f>
      </c>
      <c r="I166" s="19" t="str">
        <f>TRUNC(F166 * h166, 2)</f>
      </c>
      <c r="J166" s="20" t="str">
        <f>i166 / 560563.81</f>
      </c>
    </row>
    <row customHeight="1" ht="39" r="167">
      <c r="A167" s="16" t="inlineStr">
        <is>
          <t> 9.9 </t>
        </is>
      </c>
      <c r="B167" s="18" t="inlineStr">
        <is>
          <t> 92029 </t>
        </is>
      </c>
      <c r="C167" s="16" t="inlineStr">
        <is>
          <t>SINAPI</t>
        </is>
      </c>
      <c r="D167" s="16" t="inlineStr">
        <is>
          <t>INTERRUPTOR PARALELO (1 MÓDULO) COM 1 TOMADA DE EMBUTIR 2P+T 10 A,  INCLUINDO SUPORTE E PLACA - FORNECIMENTO E INSTALAÇÃO. AF_12/2015</t>
        </is>
      </c>
      <c r="E167" s="17" t="inlineStr">
        <is>
          <t>UN</t>
        </is>
      </c>
      <c r="F167" s="18" t="n">
        <v>2.0</v>
      </c>
      <c r="G167" s="19" t="n">
        <v>48.35</v>
      </c>
      <c r="H167" s="19" t="str">
        <f>TRUNC(G167 * (1 + 22.88 / 100), 2)</f>
      </c>
      <c r="I167" s="19" t="str">
        <f>TRUNC(F167 * h167, 2)</f>
      </c>
      <c r="J167" s="20" t="str">
        <f>i167 / 560563.81</f>
      </c>
    </row>
    <row customHeight="1" ht="39" r="168">
      <c r="A168" s="16" t="inlineStr">
        <is>
          <t> 9.10 </t>
        </is>
      </c>
      <c r="B168" s="18" t="inlineStr">
        <is>
          <t> 91957 </t>
        </is>
      </c>
      <c r="C168" s="16" t="inlineStr">
        <is>
          <t>SINAPI</t>
        </is>
      </c>
      <c r="D168" s="16" t="inlineStr">
        <is>
          <t>INTERRUPTOR SIMPLES (1 MÓDULO) COM INTERRUPTOR PARALELO (1 MÓDULO), 10A/250V, INCLUINDO SUPORTE E PLACA - FORNECIMENTO E INSTALAÇÃO. AF_12/2015</t>
        </is>
      </c>
      <c r="E168" s="17" t="inlineStr">
        <is>
          <t>UN</t>
        </is>
      </c>
      <c r="F168" s="18" t="n">
        <v>1.0</v>
      </c>
      <c r="G168" s="19" t="n">
        <v>43.62</v>
      </c>
      <c r="H168" s="19" t="str">
        <f>TRUNC(G168 * (1 + 22.88 / 100), 2)</f>
      </c>
      <c r="I168" s="19" t="str">
        <f>TRUNC(F168 * h168, 2)</f>
      </c>
      <c r="J168" s="20" t="str">
        <f>i168 / 560563.81</f>
      </c>
    </row>
    <row customHeight="1" ht="39" r="169">
      <c r="A169" s="16" t="inlineStr">
        <is>
          <t> 9.11 </t>
        </is>
      </c>
      <c r="B169" s="18" t="inlineStr">
        <is>
          <t> 92008 </t>
        </is>
      </c>
      <c r="C169" s="16" t="inlineStr">
        <is>
          <t>SINAPI</t>
        </is>
      </c>
      <c r="D169" s="16" t="inlineStr">
        <is>
          <t>TOMADA BAIXA DE EMBUTIR (2 MÓDULOS), 2P+T 10 A, INCLUINDO SUPORTE E PLACA - FORNECIMENTO E INSTALAÇÃO. AF_12/2015</t>
        </is>
      </c>
      <c r="E169" s="17" t="inlineStr">
        <is>
          <t>UN</t>
        </is>
      </c>
      <c r="F169" s="18" t="n">
        <v>25.0</v>
      </c>
      <c r="G169" s="19" t="n">
        <v>40.52</v>
      </c>
      <c r="H169" s="19" t="str">
        <f>TRUNC(G169 * (1 + 22.88 / 100), 2)</f>
      </c>
      <c r="I169" s="19" t="str">
        <f>TRUNC(F169 * h169, 2)</f>
      </c>
      <c r="J169" s="20" t="str">
        <f>i169 / 560563.81</f>
      </c>
    </row>
    <row customHeight="1" ht="39" r="170">
      <c r="A170" s="16" t="inlineStr">
        <is>
          <t> 9.12 </t>
        </is>
      </c>
      <c r="B170" s="18" t="inlineStr">
        <is>
          <t> 91992 </t>
        </is>
      </c>
      <c r="C170" s="16" t="inlineStr">
        <is>
          <t>SINAPI</t>
        </is>
      </c>
      <c r="D170" s="16" t="inlineStr">
        <is>
          <t>TOMADA ALTA DE EMBUTIR (1 MÓDULO), 2P+T 10 A, INCLUINDO SUPORTE E PLACA - FORNECIMENTO E INSTALAÇÃO. AF_12/2015</t>
        </is>
      </c>
      <c r="E170" s="17" t="inlineStr">
        <is>
          <t>UN</t>
        </is>
      </c>
      <c r="F170" s="18" t="n">
        <v>9.0</v>
      </c>
      <c r="G170" s="19" t="n">
        <v>37.42</v>
      </c>
      <c r="H170" s="19" t="str">
        <f>TRUNC(G170 * (1 + 22.88 / 100), 2)</f>
      </c>
      <c r="I170" s="19" t="str">
        <f>TRUNC(F170 * h170, 2)</f>
      </c>
      <c r="J170" s="20" t="str">
        <f>i170 / 560563.81</f>
      </c>
    </row>
    <row customHeight="1" ht="39" r="171">
      <c r="A171" s="16" t="inlineStr">
        <is>
          <t> 9.13 </t>
        </is>
      </c>
      <c r="B171" s="18" t="inlineStr">
        <is>
          <t> 92000 </t>
        </is>
      </c>
      <c r="C171" s="16" t="inlineStr">
        <is>
          <t>SINAPI</t>
        </is>
      </c>
      <c r="D171" s="16" t="inlineStr">
        <is>
          <t>TOMADA BAIXA DE EMBUTIR (1 MÓDULO), 2P+T 10 A, INCLUINDO SUPORTE E PLACA - FORNECIMENTO E INSTALAÇÃO. AF_12/2015</t>
        </is>
      </c>
      <c r="E171" s="17" t="inlineStr">
        <is>
          <t>UN</t>
        </is>
      </c>
      <c r="F171" s="18" t="n">
        <v>6.0</v>
      </c>
      <c r="G171" s="19" t="n">
        <v>25.28</v>
      </c>
      <c r="H171" s="19" t="str">
        <f>TRUNC(G171 * (1 + 22.88 / 100), 2)</f>
      </c>
      <c r="I171" s="19" t="str">
        <f>TRUNC(F171 * h171, 2)</f>
      </c>
      <c r="J171" s="20" t="str">
        <f>i171 / 560563.81</f>
      </c>
    </row>
    <row customHeight="1" ht="39" r="172">
      <c r="A172" s="16" t="inlineStr">
        <is>
          <t> 9.14 </t>
        </is>
      </c>
      <c r="B172" s="18" t="inlineStr">
        <is>
          <t> 90466 </t>
        </is>
      </c>
      <c r="C172" s="16" t="inlineStr">
        <is>
          <t>SINAPI</t>
        </is>
      </c>
      <c r="D172" s="16" t="inlineStr">
        <is>
          <t>CHUMBAMENTO LINEAR EM ALVENARIA PARA RAMAIS/DISTRIBUIÇÃO COM DIÂMETROS MENORES OU IGUAIS A 40 MM. AF_05/2015</t>
        </is>
      </c>
      <c r="E172" s="17" t="inlineStr">
        <is>
          <t>M</t>
        </is>
      </c>
      <c r="F172" s="18" t="n">
        <v>80.0</v>
      </c>
      <c r="G172" s="19" t="n">
        <v>12.99</v>
      </c>
      <c r="H172" s="19" t="str">
        <f>TRUNC(G172 * (1 + 22.88 / 100), 2)</f>
      </c>
      <c r="I172" s="19" t="str">
        <f>TRUNC(F172 * h172, 2)</f>
      </c>
      <c r="J172" s="20" t="str">
        <f>i172 / 560563.81</f>
      </c>
    </row>
    <row customHeight="1" ht="26" r="173">
      <c r="A173" s="16" t="inlineStr">
        <is>
          <t> 9.15 </t>
        </is>
      </c>
      <c r="B173" s="18" t="inlineStr">
        <is>
          <t> 90447 </t>
        </is>
      </c>
      <c r="C173" s="16" t="inlineStr">
        <is>
          <t>SINAPI</t>
        </is>
      </c>
      <c r="D173" s="16" t="inlineStr">
        <is>
          <t>RASGO EM ALVENARIA PARA ELETRODUTOS COM DIAMETROS MENORES OU IGUAIS A 40 MM. AF_05/2015</t>
        </is>
      </c>
      <c r="E173" s="17" t="inlineStr">
        <is>
          <t>M</t>
        </is>
      </c>
      <c r="F173" s="18" t="n">
        <v>239.0</v>
      </c>
      <c r="G173" s="19" t="n">
        <v>6.22</v>
      </c>
      <c r="H173" s="19" t="str">
        <f>TRUNC(G173 * (1 + 22.88 / 100), 2)</f>
      </c>
      <c r="I173" s="19" t="str">
        <f>TRUNC(F173 * h173, 2)</f>
      </c>
      <c r="J173" s="20" t="str">
        <f>i173 / 560563.81</f>
      </c>
    </row>
    <row customHeight="1" ht="26" r="174">
      <c r="A174" s="16" t="inlineStr">
        <is>
          <t> 9.16 </t>
        </is>
      </c>
      <c r="B174" s="18" t="inlineStr">
        <is>
          <t> 90447 </t>
        </is>
      </c>
      <c r="C174" s="16" t="inlineStr">
        <is>
          <t>SINAPI</t>
        </is>
      </c>
      <c r="D174" s="16" t="inlineStr">
        <is>
          <t>RASGO EM ALVENARIA PARA ELETRODUTOS COM DIAMETROS MENORES OU IGUAIS A 40 MM. AF_05/2015</t>
        </is>
      </c>
      <c r="E174" s="17" t="inlineStr">
        <is>
          <t>M</t>
        </is>
      </c>
      <c r="F174" s="18" t="n">
        <v>80.0</v>
      </c>
      <c r="G174" s="19" t="n">
        <v>6.22</v>
      </c>
      <c r="H174" s="19" t="str">
        <f>TRUNC(G174 * (1 + 22.88 / 100), 2)</f>
      </c>
      <c r="I174" s="19" t="str">
        <f>TRUNC(F174 * h174, 2)</f>
      </c>
      <c r="J174" s="20" t="str">
        <f>i174 / 560563.81</f>
      </c>
    </row>
    <row customHeight="1" ht="26" r="175">
      <c r="A175" s="16" t="inlineStr">
        <is>
          <t> 9.17 </t>
        </is>
      </c>
      <c r="B175" s="18" t="inlineStr">
        <is>
          <t> 93662 </t>
        </is>
      </c>
      <c r="C175" s="16" t="inlineStr">
        <is>
          <t>SINAPI</t>
        </is>
      </c>
      <c r="D175" s="16" t="inlineStr">
        <is>
          <t>DISJUNTOR BIPOLAR TIPO DIN, CORRENTE NOMINAL DE 20A - FORNECIMENTO E INSTALAÇÃO. AF_10/2020</t>
        </is>
      </c>
      <c r="E175" s="17" t="inlineStr">
        <is>
          <t>UN</t>
        </is>
      </c>
      <c r="F175" s="18" t="n">
        <v>3.0</v>
      </c>
      <c r="G175" s="19" t="n">
        <v>66.15</v>
      </c>
      <c r="H175" s="19" t="str">
        <f>TRUNC(G175 * (1 + 22.88 / 100), 2)</f>
      </c>
      <c r="I175" s="19" t="str">
        <f>TRUNC(F175 * h175, 2)</f>
      </c>
      <c r="J175" s="20" t="str">
        <f>i175 / 560563.81</f>
      </c>
    </row>
    <row customHeight="1" ht="26" r="176">
      <c r="A176" s="16" t="inlineStr">
        <is>
          <t> 9.18 </t>
        </is>
      </c>
      <c r="B176" s="18" t="inlineStr">
        <is>
          <t> 93661 </t>
        </is>
      </c>
      <c r="C176" s="16" t="inlineStr">
        <is>
          <t>SINAPI</t>
        </is>
      </c>
      <c r="D176" s="16" t="inlineStr">
        <is>
          <t>DISJUNTOR BIPOLAR TIPO DIN, CORRENTE NOMINAL DE 16A - FORNECIMENTO E INSTALAÇÃO. AF_10/2020</t>
        </is>
      </c>
      <c r="E176" s="17" t="inlineStr">
        <is>
          <t>UN</t>
        </is>
      </c>
      <c r="F176" s="18" t="n">
        <v>2.0</v>
      </c>
      <c r="G176" s="19" t="n">
        <v>63.83</v>
      </c>
      <c r="H176" s="19" t="str">
        <f>TRUNC(G176 * (1 + 22.88 / 100), 2)</f>
      </c>
      <c r="I176" s="19" t="str">
        <f>TRUNC(F176 * h176, 2)</f>
      </c>
      <c r="J176" s="20" t="str">
        <f>i176 / 560563.81</f>
      </c>
    </row>
    <row customHeight="1" ht="26" r="177">
      <c r="A177" s="16" t="inlineStr">
        <is>
          <t> 9.19 </t>
        </is>
      </c>
      <c r="B177" s="18" t="inlineStr">
        <is>
          <t> 93664 </t>
        </is>
      </c>
      <c r="C177" s="16" t="inlineStr">
        <is>
          <t>SINAPI</t>
        </is>
      </c>
      <c r="D177" s="16" t="inlineStr">
        <is>
          <t>DISJUNTOR BIPOLAR TIPO DIN, CORRENTE NOMINAL DE 32A - FORNECIMENTO E INSTALAÇÃO. AF_10/2020</t>
        </is>
      </c>
      <c r="E177" s="17" t="inlineStr">
        <is>
          <t>UN</t>
        </is>
      </c>
      <c r="F177" s="18" t="n">
        <v>5.0</v>
      </c>
      <c r="G177" s="19" t="n">
        <v>68.94</v>
      </c>
      <c r="H177" s="19" t="str">
        <f>TRUNC(G177 * (1 + 22.88 / 100), 2)</f>
      </c>
      <c r="I177" s="19" t="str">
        <f>TRUNC(F177 * h177, 2)</f>
      </c>
      <c r="J177" s="20" t="str">
        <f>i177 / 560563.81</f>
      </c>
    </row>
    <row customHeight="1" ht="26" r="178">
      <c r="A178" s="16" t="inlineStr">
        <is>
          <t> 9.20 </t>
        </is>
      </c>
      <c r="B178" s="18" t="inlineStr">
        <is>
          <t> 93665 </t>
        </is>
      </c>
      <c r="C178" s="16" t="inlineStr">
        <is>
          <t>SINAPI</t>
        </is>
      </c>
      <c r="D178" s="16" t="inlineStr">
        <is>
          <t>DISJUNTOR BIPOLAR TIPO DIN, CORRENTE NOMINAL DE 40A - FORNECIMENTO E INSTALAÇÃO. AF_10/2020</t>
        </is>
      </c>
      <c r="E178" s="17" t="inlineStr">
        <is>
          <t>UN</t>
        </is>
      </c>
      <c r="F178" s="18" t="n">
        <v>4.0</v>
      </c>
      <c r="G178" s="19" t="n">
        <v>72.41</v>
      </c>
      <c r="H178" s="19" t="str">
        <f>TRUNC(G178 * (1 + 22.88 / 100), 2)</f>
      </c>
      <c r="I178" s="19" t="str">
        <f>TRUNC(F178 * h178, 2)</f>
      </c>
      <c r="J178" s="20" t="str">
        <f>i178 / 560563.81</f>
      </c>
    </row>
    <row customHeight="1" ht="39" r="179">
      <c r="A179" s="16" t="inlineStr">
        <is>
          <t> 9.21 </t>
        </is>
      </c>
      <c r="B179" s="18" t="inlineStr">
        <is>
          <t> 101894 </t>
        </is>
      </c>
      <c r="C179" s="16" t="inlineStr">
        <is>
          <t>SINAPI</t>
        </is>
      </c>
      <c r="D179" s="16" t="inlineStr">
        <is>
          <t>DISJUNTOR TRIPOLAR TIPO NEMA, CORRENTE NOMINAL DE 60 ATÉ 100A - FORNECIMENTO E INSTALAÇÃO. AF_10/2020</t>
        </is>
      </c>
      <c r="E179" s="17" t="inlineStr">
        <is>
          <t>UN</t>
        </is>
      </c>
      <c r="F179" s="18" t="n">
        <v>1.0</v>
      </c>
      <c r="G179" s="19" t="n">
        <v>167.21</v>
      </c>
      <c r="H179" s="19" t="str">
        <f>TRUNC(G179 * (1 + 22.88 / 100), 2)</f>
      </c>
      <c r="I179" s="19" t="str">
        <f>TRUNC(F179 * h179, 2)</f>
      </c>
      <c r="J179" s="20" t="str">
        <f>i179 / 560563.81</f>
      </c>
    </row>
    <row customHeight="1" ht="39" r="180">
      <c r="A180" s="16" t="inlineStr">
        <is>
          <t> 9.22 </t>
        </is>
      </c>
      <c r="B180" s="18" t="inlineStr">
        <is>
          <t> 97605 </t>
        </is>
      </c>
      <c r="C180" s="16" t="inlineStr">
        <is>
          <t>SINAPI</t>
        </is>
      </c>
      <c r="D180" s="16" t="inlineStr">
        <is>
          <t>LUMINÁRIA ARANDELA TIPO MEIA LUA, DE SOBREPOR, COM 1 LÂMPADA LED DE 6 W, SEM REATOR - FORNECIMENTO E INSTALAÇÃO. AF_02/2020</t>
        </is>
      </c>
      <c r="E180" s="17" t="inlineStr">
        <is>
          <t>UN</t>
        </is>
      </c>
      <c r="F180" s="18" t="n">
        <v>8.0</v>
      </c>
      <c r="G180" s="19" t="n">
        <v>88.83</v>
      </c>
      <c r="H180" s="19" t="str">
        <f>TRUNC(G180 * (1 + 22.88 / 100), 2)</f>
      </c>
      <c r="I180" s="19" t="str">
        <f>TRUNC(F180 * h180, 2)</f>
      </c>
      <c r="J180" s="20" t="str">
        <f>i180 / 560563.81</f>
      </c>
    </row>
    <row customHeight="1" ht="26" r="181">
      <c r="A181" s="44" t="inlineStr">
        <is>
          <t> 9.23 </t>
        </is>
      </c>
      <c r="B181" s="46" t="inlineStr">
        <is>
          <t> 00000095 </t>
        </is>
      </c>
      <c r="C181" s="44" t="inlineStr">
        <is>
          <t>Próprio</t>
        </is>
      </c>
      <c r="D181" s="44" t="inlineStr">
        <is>
          <t>Luminária Plafon 12W LED de Embutir no Forro Branco Frio</t>
        </is>
      </c>
      <c r="E181" s="45" t="inlineStr">
        <is>
          <t>un</t>
        </is>
      </c>
      <c r="F181" s="46" t="n">
        <v>22.0</v>
      </c>
      <c r="G181" s="47" t="n">
        <v>23.5</v>
      </c>
      <c r="H181" s="47" t="str">
        <f>TRUNC(G181 * (1 + 17.0 / 100), 2) &amp;CHAR(10)&amp; "(17.0%)"</f>
      </c>
      <c r="I181" s="47" t="str">
        <f>TRUNC(F181 * TRUNC(g181 * (1 + 17.0 / 100), 2), 2)</f>
      </c>
      <c r="J181" s="48" t="str">
        <f>i181 / 560563.81</f>
      </c>
    </row>
    <row customHeight="1" ht="24" r="182">
      <c r="A182" s="8" t="inlineStr">
        <is>
          <t> 10 </t>
        </is>
      </c>
      <c r="B182" s="8"/>
      <c r="C182" s="8"/>
      <c r="D182" s="8" t="inlineStr">
        <is>
          <t>PINTURAS E ACABAMENTOS</t>
        </is>
      </c>
      <c r="E182" s="8"/>
      <c r="F182" s="10"/>
      <c r="G182" s="8"/>
      <c r="H182" s="8"/>
      <c r="I182" s="11" t="n">
        <v>27394.68</v>
      </c>
      <c r="J182" s="12" t="str">
        <f>i182 / 560563.81</f>
      </c>
    </row>
    <row customHeight="1" ht="24" r="183">
      <c r="A183" s="8" t="inlineStr">
        <is>
          <t> 10.1 </t>
        </is>
      </c>
      <c r="B183" s="8"/>
      <c r="C183" s="8"/>
      <c r="D183" s="8" t="inlineStr">
        <is>
          <t>EXTERNA</t>
        </is>
      </c>
      <c r="E183" s="8"/>
      <c r="F183" s="10"/>
      <c r="G183" s="8"/>
      <c r="H183" s="8"/>
      <c r="I183" s="11" t="n">
        <v>10063.39</v>
      </c>
      <c r="J183" s="12" t="str">
        <f>i183 / 560563.81</f>
      </c>
    </row>
    <row customHeight="1" ht="39" r="184">
      <c r="A184" s="16" t="inlineStr">
        <is>
          <t> 10.1.1 </t>
        </is>
      </c>
      <c r="B184" s="18" t="inlineStr">
        <is>
          <t> 88411 </t>
        </is>
      </c>
      <c r="C184" s="16" t="inlineStr">
        <is>
          <t>SINAPI</t>
        </is>
      </c>
      <c r="D184" s="16" t="inlineStr">
        <is>
          <t>APLICAÇÃO MANUAL DE FUNDO SELADOR ACRÍLICO EM PANOS COM PRESENÇA DE VÃOS DE EDIFÍCIOS DE MÚLTIPLOS PAVIMENTOS. AF_06/2014</t>
        </is>
      </c>
      <c r="E184" s="17" t="inlineStr">
        <is>
          <t>m²</t>
        </is>
      </c>
      <c r="F184" s="18" t="n">
        <v>232.68</v>
      </c>
      <c r="G184" s="19" t="n">
        <v>2.4</v>
      </c>
      <c r="H184" s="19" t="str">
        <f>TRUNC(G184 * (1 + 22.88 / 100), 2)</f>
      </c>
      <c r="I184" s="19" t="str">
        <f>TRUNC(F184 * h184, 2)</f>
      </c>
      <c r="J184" s="20" t="str">
        <f>i184 / 560563.81</f>
      </c>
    </row>
    <row customHeight="1" ht="39" r="185">
      <c r="A185" s="16" t="inlineStr">
        <is>
          <t> 10.1.2 </t>
        </is>
      </c>
      <c r="B185" s="18" t="inlineStr">
        <is>
          <t> 88416 </t>
        </is>
      </c>
      <c r="C185" s="16" t="inlineStr">
        <is>
          <t>SINAPI</t>
        </is>
      </c>
      <c r="D185" s="16" t="inlineStr">
        <is>
          <t>APLICAÇÃO MANUAL DE PINTURA COM TINTA TEXTURIZADA ACRÍLICA EM PANOS COM PRESENÇA DE VÃOS DE EDIFÍCIOS DE MÚLTIPLOS PAVIMENTOS, UMA COR. AF_06/2014</t>
        </is>
      </c>
      <c r="E185" s="17" t="inlineStr">
        <is>
          <t>m²</t>
        </is>
      </c>
      <c r="F185" s="18" t="n">
        <v>232.68</v>
      </c>
      <c r="G185" s="19" t="n">
        <v>17.02</v>
      </c>
      <c r="H185" s="19" t="str">
        <f>TRUNC(G185 * (1 + 22.88 / 100), 2)</f>
      </c>
      <c r="I185" s="19" t="str">
        <f>TRUNC(F185 * h185, 2)</f>
      </c>
      <c r="J185" s="20" t="str">
        <f>i185 / 560563.81</f>
      </c>
    </row>
    <row customHeight="1" ht="24" r="186">
      <c r="A186" s="16" t="inlineStr">
        <is>
          <t> 10.1.3 </t>
        </is>
      </c>
      <c r="B186" s="18" t="inlineStr">
        <is>
          <t> 180109 </t>
        </is>
      </c>
      <c r="C186" s="16" t="inlineStr">
        <is>
          <t>SBC</t>
        </is>
      </c>
      <c r="D186" s="16" t="inlineStr">
        <is>
          <t>PINTURA ACRILICA 2 DEMAOS SOBRE PAREDE PREPARADA</t>
        </is>
      </c>
      <c r="E186" s="17" t="inlineStr">
        <is>
          <t>m²</t>
        </is>
      </c>
      <c r="F186" s="18" t="n">
        <v>232.68</v>
      </c>
      <c r="G186" s="19" t="n">
        <v>15.79</v>
      </c>
      <c r="H186" s="19" t="str">
        <f>TRUNC(G186 * (1 + 22.88 / 100), 2)</f>
      </c>
      <c r="I186" s="19" t="str">
        <f>TRUNC(F186 * h186, 2)</f>
      </c>
      <c r="J186" s="20" t="str">
        <f>i186 / 560563.81</f>
      </c>
    </row>
    <row customHeight="1" ht="24" r="187">
      <c r="A187" s="8" t="inlineStr">
        <is>
          <t> 10.2 </t>
        </is>
      </c>
      <c r="B187" s="8"/>
      <c r="C187" s="8"/>
      <c r="D187" s="8" t="inlineStr">
        <is>
          <t>INTERNA</t>
        </is>
      </c>
      <c r="E187" s="8"/>
      <c r="F187" s="10"/>
      <c r="G187" s="8"/>
      <c r="H187" s="8"/>
      <c r="I187" s="11" t="n">
        <v>15282.46</v>
      </c>
      <c r="J187" s="12" t="str">
        <f>i187 / 560563.81</f>
      </c>
    </row>
    <row customHeight="1" ht="39" r="188">
      <c r="A188" s="16" t="inlineStr">
        <is>
          <t> 10.2.1 </t>
        </is>
      </c>
      <c r="B188" s="18" t="inlineStr">
        <is>
          <t> 88411 </t>
        </is>
      </c>
      <c r="C188" s="16" t="inlineStr">
        <is>
          <t>SINAPI</t>
        </is>
      </c>
      <c r="D188" s="16" t="inlineStr">
        <is>
          <t>APLICAÇÃO MANUAL DE FUNDO SELADOR ACRÍLICO EM PANOS COM PRESENÇA DE VÃOS DE EDIFÍCIOS DE MÚLTIPLOS PAVIMENTOS. AF_06/2014</t>
        </is>
      </c>
      <c r="E188" s="17" t="inlineStr">
        <is>
          <t>m²</t>
        </is>
      </c>
      <c r="F188" s="18" t="n">
        <v>310.91</v>
      </c>
      <c r="G188" s="19" t="n">
        <v>2.4</v>
      </c>
      <c r="H188" s="19" t="str">
        <f>TRUNC(G188 * (1 + 22.88 / 100), 2)</f>
      </c>
      <c r="I188" s="19" t="str">
        <f>TRUNC(F188 * h188, 2)</f>
      </c>
      <c r="J188" s="20" t="str">
        <f>i188 / 560563.81</f>
      </c>
    </row>
    <row customHeight="1" ht="39" r="189">
      <c r="A189" s="16" t="inlineStr">
        <is>
          <t> 10.2.2 </t>
        </is>
      </c>
      <c r="B189" s="18" t="inlineStr">
        <is>
          <t> 96126 </t>
        </is>
      </c>
      <c r="C189" s="16" t="inlineStr">
        <is>
          <t>SINAPI</t>
        </is>
      </c>
      <c r="D189" s="16" t="inlineStr">
        <is>
          <t>APLICAÇÃO MANUAL DE MASSA ACRÍLICA EM PANOS DE FACHADA COM PRESENÇA DE VÃOS, DE EDIFÍCIOS DE MÚLTIPLOS PAVIMENTOS, UMA DEMÃO. AF_05/2017</t>
        </is>
      </c>
      <c r="E189" s="17" t="inlineStr">
        <is>
          <t>m²</t>
        </is>
      </c>
      <c r="F189" s="18" t="n">
        <v>332.91</v>
      </c>
      <c r="G189" s="19" t="n">
        <v>19.34</v>
      </c>
      <c r="H189" s="19" t="str">
        <f>TRUNC(G189 * (1 + 22.88 / 100), 2)</f>
      </c>
      <c r="I189" s="19" t="str">
        <f>TRUNC(F189 * h189, 2)</f>
      </c>
      <c r="J189" s="20" t="str">
        <f>i189 / 560563.81</f>
      </c>
    </row>
    <row customHeight="1" ht="24" r="190">
      <c r="A190" s="16" t="inlineStr">
        <is>
          <t> 10.2.3 </t>
        </is>
      </c>
      <c r="B190" s="18" t="inlineStr">
        <is>
          <t> 180109 </t>
        </is>
      </c>
      <c r="C190" s="16" t="inlineStr">
        <is>
          <t>SBC</t>
        </is>
      </c>
      <c r="D190" s="16" t="inlineStr">
        <is>
          <t>PINTURA ACRILICA 2 DEMAOS SOBRE PAREDE PREPARADA</t>
        </is>
      </c>
      <c r="E190" s="17" t="inlineStr">
        <is>
          <t>m²</t>
        </is>
      </c>
      <c r="F190" s="18" t="n">
        <v>332.91</v>
      </c>
      <c r="G190" s="19" t="n">
        <v>15.79</v>
      </c>
      <c r="H190" s="19" t="str">
        <f>TRUNC(G190 * (1 + 22.88 / 100), 2)</f>
      </c>
      <c r="I190" s="19" t="str">
        <f>TRUNC(F190 * h190, 2)</f>
      </c>
      <c r="J190" s="20" t="str">
        <f>i190 / 560563.81</f>
      </c>
    </row>
    <row customHeight="1" ht="24" r="191">
      <c r="A191" s="8" t="inlineStr">
        <is>
          <t> 10.3 </t>
        </is>
      </c>
      <c r="B191" s="8"/>
      <c r="C191" s="8"/>
      <c r="D191" s="8" t="inlineStr">
        <is>
          <t>FORRO</t>
        </is>
      </c>
      <c r="E191" s="8"/>
      <c r="F191" s="10"/>
      <c r="G191" s="8"/>
      <c r="H191" s="8"/>
      <c r="I191" s="11" t="n">
        <v>2048.83</v>
      </c>
      <c r="J191" s="12" t="str">
        <f>i191 / 560563.81</f>
      </c>
    </row>
    <row customHeight="1" ht="24" r="192">
      <c r="A192" s="16" t="inlineStr">
        <is>
          <t> 10.3.1 </t>
        </is>
      </c>
      <c r="B192" s="18" t="inlineStr">
        <is>
          <t> 180109 </t>
        </is>
      </c>
      <c r="C192" s="16" t="inlineStr">
        <is>
          <t>SBC</t>
        </is>
      </c>
      <c r="D192" s="16" t="inlineStr">
        <is>
          <t>PINTURA ACRILICA 2 DEMAOS SOBRE PAREDE PREPARADA</t>
        </is>
      </c>
      <c r="E192" s="17" t="inlineStr">
        <is>
          <t>m²</t>
        </is>
      </c>
      <c r="F192" s="18" t="n">
        <v>105.61</v>
      </c>
      <c r="G192" s="19" t="n">
        <v>15.79</v>
      </c>
      <c r="H192" s="19" t="str">
        <f>TRUNC(G192 * (1 + 22.88 / 100), 2)</f>
      </c>
      <c r="I192" s="19" t="str">
        <f>TRUNC(F192 * h192, 2)</f>
      </c>
      <c r="J192" s="20" t="str">
        <f>i192 / 560563.81</f>
      </c>
    </row>
    <row customHeight="1" ht="24" r="193">
      <c r="A193" s="8" t="inlineStr">
        <is>
          <t> 11 </t>
        </is>
      </c>
      <c r="B193" s="8"/>
      <c r="C193" s="8"/>
      <c r="D193" s="8" t="inlineStr">
        <is>
          <t>LAGO E JARDINAGEM</t>
        </is>
      </c>
      <c r="E193" s="8"/>
      <c r="F193" s="10"/>
      <c r="G193" s="8"/>
      <c r="H193" s="8"/>
      <c r="I193" s="11" t="n">
        <v>24271.84</v>
      </c>
      <c r="J193" s="12" t="str">
        <f>i193 / 560563.81</f>
      </c>
    </row>
    <row customHeight="1" ht="26" r="194">
      <c r="A194" s="16" t="inlineStr">
        <is>
          <t> 11.1 </t>
        </is>
      </c>
      <c r="B194" s="18" t="inlineStr">
        <is>
          <t> 93358 </t>
        </is>
      </c>
      <c r="C194" s="16" t="inlineStr">
        <is>
          <t>SINAPI</t>
        </is>
      </c>
      <c r="D194" s="16" t="inlineStr">
        <is>
          <t>ESCAVAÇÃO MANUAL DE VALA COM PROFUNDIDADE MENOR OU IGUAL A 1,30 M. AF_02/2021</t>
        </is>
      </c>
      <c r="E194" s="17" t="inlineStr">
        <is>
          <t>m³</t>
        </is>
      </c>
      <c r="F194" s="18" t="n">
        <v>9.14</v>
      </c>
      <c r="G194" s="19" t="n">
        <v>76.94</v>
      </c>
      <c r="H194" s="19" t="str">
        <f>TRUNC(G194 * (1 + 22.88 / 100), 2)</f>
      </c>
      <c r="I194" s="19" t="str">
        <f>TRUNC(F194 * h194, 2)</f>
      </c>
      <c r="J194" s="20" t="str">
        <f>i194 / 560563.81</f>
      </c>
    </row>
    <row customHeight="1" ht="39" r="195">
      <c r="A195" s="16" t="inlineStr">
        <is>
          <t> 11.2 </t>
        </is>
      </c>
      <c r="B195" s="18" t="inlineStr">
        <is>
          <t> 101621 </t>
        </is>
      </c>
      <c r="C195" s="16" t="inlineStr">
        <is>
          <t>SINAPI</t>
        </is>
      </c>
      <c r="D195" s="16" t="inlineStr">
        <is>
          <t>PREPARO DE FUNDO DE VALA COM LARGURA MAIOR OU IGUAL A 1,5 M E MENOR QUE 2,5 M, COM CAMADA DE BRITA, LANÇAMENTO MANUAL. AF_08/2020</t>
        </is>
      </c>
      <c r="E195" s="17" t="inlineStr">
        <is>
          <t>m³</t>
        </is>
      </c>
      <c r="F195" s="18" t="n">
        <v>9.14</v>
      </c>
      <c r="G195" s="19" t="n">
        <v>251.46</v>
      </c>
      <c r="H195" s="19" t="str">
        <f>TRUNC(G195 * (1 + 22.88 / 100), 2)</f>
      </c>
      <c r="I195" s="19" t="str">
        <f>TRUNC(F195 * h195, 2)</f>
      </c>
      <c r="J195" s="20" t="str">
        <f>i195 / 560563.81</f>
      </c>
    </row>
    <row customHeight="1" ht="39" r="196">
      <c r="A196" s="16" t="inlineStr">
        <is>
          <t> 11.3 </t>
        </is>
      </c>
      <c r="B196" s="18" t="inlineStr">
        <is>
          <t> 102480 </t>
        </is>
      </c>
      <c r="C196" s="16" t="inlineStr">
        <is>
          <t>SINAPI</t>
        </is>
      </c>
      <c r="D196" s="16" t="inlineStr">
        <is>
          <t>CONCRETO FCK = 15MPA, TRAÇO 1:3,4:3,4 (EM MASSA SECA DE CIMENTO/ AREIA MÉDIA/ SEIXO ROLADO) - PREPARO MECÂNICO COM BETONEIRA 600 L. AF_05/2021</t>
        </is>
      </c>
      <c r="E196" s="17" t="inlineStr">
        <is>
          <t>m³</t>
        </is>
      </c>
      <c r="F196" s="18" t="n">
        <v>1.83</v>
      </c>
      <c r="G196" s="19" t="n">
        <v>642.19</v>
      </c>
      <c r="H196" s="19" t="str">
        <f>TRUNC(G196 * (1 + 22.88 / 100), 2)</f>
      </c>
      <c r="I196" s="19" t="str">
        <f>TRUNC(F196 * h196, 2)</f>
      </c>
      <c r="J196" s="20" t="str">
        <f>i196 / 560563.81</f>
      </c>
    </row>
    <row customHeight="1" ht="39" r="197">
      <c r="A197" s="44" t="inlineStr">
        <is>
          <t> 11.4 </t>
        </is>
      </c>
      <c r="B197" s="46" t="inlineStr">
        <is>
          <t> 00039507 </t>
        </is>
      </c>
      <c r="C197" s="44" t="inlineStr">
        <is>
          <t>SINAPI</t>
        </is>
      </c>
      <c r="D197" s="44" t="inlineStr">
        <is>
          <t>TELA DE ACO SOLDADA NERVURADA, CA-60, Q-113, (1,8 KG/M2), DIAMETRO DO FIO = 3,8 MM, LARGURA = 2,45 M, ESPACAMENTO DA MALHA = 10 X 10 CM</t>
        </is>
      </c>
      <c r="E197" s="45" t="inlineStr">
        <is>
          <t>m²</t>
        </is>
      </c>
      <c r="F197" s="46" t="n">
        <v>18.35</v>
      </c>
      <c r="G197" s="47" t="n">
        <v>22.44</v>
      </c>
      <c r="H197" s="47" t="str">
        <f>TRUNC(G197 * (1 + 17.0 / 100), 2) &amp;CHAR(10)&amp; "(17.0%)"</f>
      </c>
      <c r="I197" s="47" t="str">
        <f>TRUNC(F197 * TRUNC(g197 * (1 + 17.0 / 100), 2), 2)</f>
      </c>
      <c r="J197" s="48" t="str">
        <f>i197 / 560563.81</f>
      </c>
    </row>
    <row customHeight="1" ht="39" r="198">
      <c r="A198" s="16" t="inlineStr">
        <is>
          <t> 11.5 </t>
        </is>
      </c>
      <c r="B198" s="18" t="inlineStr">
        <is>
          <t> 89480 </t>
        </is>
      </c>
      <c r="C198" s="16" t="inlineStr">
        <is>
          <t>SINAPI</t>
        </is>
      </c>
      <c r="D198" s="16" t="inlineStr">
        <is>
          <t>ALVENARIA DE BLOCOS DE CONCRETO ESTRUTURAL 14X19X29 CM (ESPESSURA 14 CM), FBK = 14 MPA, UTILIZANDO COLHER DE PEDREIRO. AF_10/2022</t>
        </is>
      </c>
      <c r="E198" s="17" t="inlineStr">
        <is>
          <t>m²</t>
        </is>
      </c>
      <c r="F198" s="18" t="n">
        <v>20.09</v>
      </c>
      <c r="G198" s="19" t="n">
        <v>148.86</v>
      </c>
      <c r="H198" s="19" t="str">
        <f>TRUNC(G198 * (1 + 22.88 / 100), 2)</f>
      </c>
      <c r="I198" s="19" t="str">
        <f>TRUNC(F198 * h198, 2)</f>
      </c>
      <c r="J198" s="20" t="str">
        <f>i198 / 560563.81</f>
      </c>
    </row>
    <row customHeight="1" ht="52" r="199">
      <c r="A199" s="16" t="inlineStr">
        <is>
          <t> 11.6 </t>
        </is>
      </c>
      <c r="B199" s="18" t="inlineStr">
        <is>
          <t> 87905 </t>
        </is>
      </c>
      <c r="C199" s="16" t="inlineStr">
        <is>
          <t>SINAPI</t>
        </is>
      </c>
      <c r="D199" s="16" t="inlineStr">
        <is>
          <t>CHAPISCO APLICADO EM ALVENARIA (COM PRESENÇA DE VÃOS) E ESTRUTURAS DE CONCRETO DE FACHADA, COM COLHER DE PEDREIRO.  ARGAMASSA TRAÇO 1:3 COM PREPARO EM BETONEIRA 400L. AF_06/2014</t>
        </is>
      </c>
      <c r="E199" s="17" t="inlineStr">
        <is>
          <t>m²</t>
        </is>
      </c>
      <c r="F199" s="18" t="n">
        <v>20.09</v>
      </c>
      <c r="G199" s="19" t="n">
        <v>7.56</v>
      </c>
      <c r="H199" s="19" t="str">
        <f>TRUNC(G199 * (1 + 22.88 / 100), 2)</f>
      </c>
      <c r="I199" s="19" t="str">
        <f>TRUNC(F199 * h199, 2)</f>
      </c>
      <c r="J199" s="20" t="str">
        <f>i199 / 560563.81</f>
      </c>
    </row>
    <row customHeight="1" ht="52" r="200">
      <c r="A200" s="16" t="inlineStr">
        <is>
          <t> 11.7 </t>
        </is>
      </c>
      <c r="B200" s="18" t="inlineStr">
        <is>
          <t> 87775 </t>
        </is>
      </c>
      <c r="C200" s="16" t="inlineStr">
        <is>
          <t>SINAPI</t>
        </is>
      </c>
      <c r="D200" s="16" t="inlineStr">
        <is>
          <t>EMBOÇO OU MASSA ÚNICA EM ARGAMASSA TRAÇO 1:2:8, PREPARO MECÂNICO COM BETONEIRA 400 L, APLICADA MANUALMENTE EM PANOS DE FACHADA COM PRESENÇA DE VÃOS, ESPESSURA DE 25 MM. AF_08/2022</t>
        </is>
      </c>
      <c r="E200" s="17" t="inlineStr">
        <is>
          <t>m²</t>
        </is>
      </c>
      <c r="F200" s="18" t="n">
        <v>20.09</v>
      </c>
      <c r="G200" s="19" t="n">
        <v>51.75</v>
      </c>
      <c r="H200" s="19" t="str">
        <f>TRUNC(G200 * (1 + 22.88 / 100), 2)</f>
      </c>
      <c r="I200" s="19" t="str">
        <f>TRUNC(F200 * h200, 2)</f>
      </c>
      <c r="J200" s="20" t="str">
        <f>i200 / 560563.81</f>
      </c>
    </row>
    <row customHeight="1" ht="26" r="201">
      <c r="A201" s="16" t="inlineStr">
        <is>
          <t> 11.8 </t>
        </is>
      </c>
      <c r="B201" s="18" t="inlineStr">
        <is>
          <t> 102494 </t>
        </is>
      </c>
      <c r="C201" s="16" t="inlineStr">
        <is>
          <t>SINAPI</t>
        </is>
      </c>
      <c r="D201" s="16" t="inlineStr">
        <is>
          <t>PINTURA DE PISO COM TINTA EPÓXI, APLICAÇÃO MANUAL, 2 DEMÃOS, INCLUSO PRIMER EPÓXI. AF_05/2021</t>
        </is>
      </c>
      <c r="E201" s="17" t="inlineStr">
        <is>
          <t>m²</t>
        </is>
      </c>
      <c r="F201" s="18" t="n">
        <v>38.44</v>
      </c>
      <c r="G201" s="19" t="n">
        <v>62.55</v>
      </c>
      <c r="H201" s="19" t="str">
        <f>TRUNC(G201 * (1 + 22.88 / 100), 2)</f>
      </c>
      <c r="I201" s="19" t="str">
        <f>TRUNC(F201 * h201, 2)</f>
      </c>
      <c r="J201" s="20" t="str">
        <f>i201 / 560563.81</f>
      </c>
    </row>
    <row customHeight="1" ht="26" r="202">
      <c r="A202" s="16" t="inlineStr">
        <is>
          <t> 11.9 </t>
        </is>
      </c>
      <c r="B202" s="18" t="inlineStr">
        <is>
          <t> PMPG CIV 214 </t>
        </is>
      </c>
      <c r="C202" s="16" t="inlineStr">
        <is>
          <t>Próprio</t>
        </is>
      </c>
      <c r="D202" s="16" t="inlineStr">
        <is>
          <t>Copia da SINAPI (98504) - PLANTIO DE GRAMA EM PLACAS. AF_05/2018</t>
        </is>
      </c>
      <c r="E202" s="17" t="inlineStr">
        <is>
          <t>m²</t>
        </is>
      </c>
      <c r="F202" s="18" t="n">
        <v>87.82</v>
      </c>
      <c r="G202" s="19" t="n">
        <v>24.45</v>
      </c>
      <c r="H202" s="19" t="str">
        <f>TRUNC(G202 * (1 + 22.88 / 100), 2)</f>
      </c>
      <c r="I202" s="19" t="str">
        <f>TRUNC(F202 * h202, 2)</f>
      </c>
      <c r="J202" s="20" t="str">
        <f>i202 / 560563.81</f>
      </c>
    </row>
    <row customHeight="1" ht="26" r="203">
      <c r="A203" s="44" t="inlineStr">
        <is>
          <t> 11.10 </t>
        </is>
      </c>
      <c r="B203" s="46" t="inlineStr">
        <is>
          <t> 00000094 </t>
        </is>
      </c>
      <c r="C203" s="44" t="inlineStr">
        <is>
          <t>Próprio</t>
        </is>
      </c>
      <c r="D203" s="44" t="inlineStr">
        <is>
          <t>Kit Filtragem Piava - 220V Para Até 7500L com Ozônio</t>
        </is>
      </c>
      <c r="E203" s="45" t="inlineStr">
        <is>
          <t>un</t>
        </is>
      </c>
      <c r="F203" s="46" t="n">
        <v>1.0</v>
      </c>
      <c r="G203" s="47" t="n">
        <v>6774.89</v>
      </c>
      <c r="H203" s="47" t="str">
        <f>TRUNC(G203 * (1 + 17.0 / 100), 2) &amp;CHAR(10)&amp; "(17.0%)"</f>
      </c>
      <c r="I203" s="47" t="str">
        <f>TRUNC(F203 * TRUNC(g203 * (1 + 17.0 / 100), 2), 2)</f>
      </c>
      <c r="J203" s="48" t="str">
        <f>i203 / 560563.81</f>
      </c>
    </row>
    <row customHeight="1" ht="24" r="204">
      <c r="A204" s="8" t="inlineStr">
        <is>
          <t> 12 </t>
        </is>
      </c>
      <c r="B204" s="8"/>
      <c r="C204" s="8"/>
      <c r="D204" s="8" t="inlineStr">
        <is>
          <t>SERVIÇOS COMPLEMENTARES E FINAIS</t>
        </is>
      </c>
      <c r="E204" s="8"/>
      <c r="F204" s="10"/>
      <c r="G204" s="8"/>
      <c r="H204" s="8"/>
      <c r="I204" s="11" t="n">
        <v>2360.22</v>
      </c>
      <c r="J204" s="12" t="str">
        <f>i204 / 560563.81</f>
      </c>
    </row>
    <row customHeight="1" ht="24" r="205">
      <c r="A205" s="16" t="inlineStr">
        <is>
          <t> 12.1 </t>
        </is>
      </c>
      <c r="B205" s="18" t="inlineStr">
        <is>
          <t> 9537 </t>
        </is>
      </c>
      <c r="C205" s="16" t="inlineStr">
        <is>
          <t>SINAPI</t>
        </is>
      </c>
      <c r="D205" s="16" t="inlineStr">
        <is>
          <t>LIMPEZA FINAL DA OBRA</t>
        </is>
      </c>
      <c r="E205" s="17" t="inlineStr">
        <is>
          <t>m²</t>
        </is>
      </c>
      <c r="F205" s="18" t="n">
        <v>566.0</v>
      </c>
      <c r="G205" s="19" t="n">
        <v>3.4</v>
      </c>
      <c r="H205" s="19" t="str">
        <f>TRUNC(G205 * (1 + 22.88 / 100), 2)</f>
      </c>
      <c r="I205" s="19" t="str">
        <f>TRUNC(F205 * h205, 2)</f>
      </c>
      <c r="J205" s="20" t="str">
        <f>i205 / 560563.81</f>
      </c>
    </row>
    <row r="206">
      <c r="A206" s="65"/>
      <c r="B206" s="65"/>
      <c r="C206" s="65"/>
      <c r="D206" s="65"/>
      <c r="E206" s="65"/>
      <c r="F206" s="65"/>
      <c r="G206" s="65"/>
      <c r="H206" s="65"/>
      <c r="I206" s="65"/>
      <c r="J206" s="65"/>
    </row>
    <row r="207">
      <c r="A207" s="57"/>
      <c r="B207" s="57"/>
      <c r="C207" s="57"/>
      <c r="D207" s="64"/>
      <c r="E207" s="57"/>
      <c r="F207" s="55" t="inlineStr">
        <is>
          <t>Total sem BDI</t>
        </is>
      </c>
      <c r="G207" s="57"/>
      <c r="H207" s="58" t="n">
        <v>458731.25</v>
      </c>
      <c r="I207" s="57"/>
      <c r="J207" s="57"/>
    </row>
    <row r="208">
      <c r="A208" s="57"/>
      <c r="B208" s="57"/>
      <c r="C208" s="57"/>
      <c r="D208" s="64"/>
      <c r="E208" s="57"/>
      <c r="F208" s="55" t="inlineStr">
        <is>
          <t>Total do BDI</t>
        </is>
      </c>
      <c r="G208" s="57"/>
      <c r="H208" s="58" t="n">
        <v>101832.56</v>
      </c>
      <c r="I208" s="57"/>
      <c r="J208" s="57"/>
    </row>
    <row r="209">
      <c r="A209" s="57"/>
      <c r="B209" s="57"/>
      <c r="C209" s="57"/>
      <c r="D209" s="64"/>
      <c r="E209" s="57"/>
      <c r="F209" s="55" t="inlineStr">
        <is>
          <t>Total Geral</t>
        </is>
      </c>
      <c r="G209" s="57"/>
      <c r="H209" s="58" t="n">
        <v>560563.81</v>
      </c>
      <c r="I209" s="57"/>
      <c r="J209" s="57"/>
    </row>
    <row customHeight="1" ht="60" r="210">
      <c r="A210" s="56"/>
      <c r="B210" s="56"/>
      <c r="C210" s="56"/>
      <c r="D210" s="56"/>
      <c r="E210" s="56"/>
      <c r="F210" s="56"/>
      <c r="G210" s="56"/>
      <c r="H210" s="56"/>
      <c r="I210" s="56"/>
      <c r="J210" s="56"/>
    </row>
    <row customHeight="1" ht="70" r="211">
      <c r="A211" s="65" t="inlineStr">
        <is>
          <t>_______________________________________________________________
Ramon Abraão de Paula
Eng. Civil
CREA SP 5070772107</t>
        </is>
      </c>
    </row>
  </sheetData>
  <sheetCalcPr fullCalcOnLoad="1"/>
  <mergeCells count="17">
    <mergeCell ref="E1:f1"/>
    <mergeCell ref="g1:h1"/>
    <mergeCell ref="i1:j1"/>
    <mergeCell ref="E2:f2"/>
    <mergeCell ref="g2:h2"/>
    <mergeCell ref="i2:j2"/>
    <mergeCell ref="A3:j3"/>
    <mergeCell ref="A207:C207"/>
    <mergeCell ref="f207:g207"/>
    <mergeCell ref="h207:j207"/>
    <mergeCell ref="A208:C208"/>
    <mergeCell ref="f208:g208"/>
    <mergeCell ref="h208:j208"/>
    <mergeCell ref="A209:C209"/>
    <mergeCell ref="f209:g209"/>
    <mergeCell ref="h209:j209"/>
    <mergeCell ref="A211:j211"/>
  </mergeCells>
  <printOptions verticalCentered="0" horizontalCentered="0" headings="0" gridLines="0"/>
  <pageMargins right="0.5" left="0.5" bottom="1" top="1" footer="0.5" header="0.5"/>
  <pageSetup fitToWidth="1" fitToHeight="0" paperSize="9" orientation="landscape"/>
  <headerFooter differentFirst="0">
    <oddHeader>&amp;L &amp;CPrefeitura Municipal de Porto dos Gaúchos
CNPJ: 03.204.187/0001-33 &amp;R</oddHeader>
    <oddFooter>&amp;L &amp;CPraça Leopoldina Wilke  - Centro - Porto dos Gaúchos / MT
(66)3526-2011 / planejamento@portodosgauchos.mt.gov.br &amp;R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2022-12-08T02:27:08Z</dcterms:created>
  <cp:revision>0</cp:revision>
</cp:coreProperties>
</file>