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ContentType="image/jpeg" Extension="jpeg"/>
</Types>
</file>

<file path=_rels/.rels><?xml version="1.0" encoding="UTF-8"?><Relationships xmlns="http://schemas.openxmlformats.org/package/2006/relationships"><Relationship Target="xl/workbook.xml" Type="http://schemas.openxmlformats.org/officeDocument/2006/relationships/officeDocument" Id="rId1"/><Relationship Target="docProps/core.xml" Type="http://schemas.openxmlformats.org/package/2006/relationships/metadata/core-properties" Id="rId2"/><Relationship Target="docProps/app.xml" Type="http://schemas.openxmlformats.org/officeDocument/2006/relationships/extended-properties" Id="rId3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sheets>
    <sheet sheetId="1" name="Orçamento Sintético" r:id="rId4"/>
  </sheets>
  <definedNames>
    <definedName name="_xlnm.Print_Titles" localSheetId="0">'repeated header'!$4:$4</definedName>
  </definedNames>
</workbook>
</file>

<file path=xl/styles.xml><?xml version="1.0" encoding="utf-8"?>
<styleSheet xmlns="http://schemas.openxmlformats.org/spreadsheetml/2006/main">
  <numFmts count="27">
    <numFmt numFmtId="100" formatCode="yyyy/mm/dd"/>
    <numFmt numFmtId="101" formatCode="yyyy/mm/dd hh:mm:ss"/>
    <numFmt numFmtId="102" formatCode="#,##0.00"/>
    <numFmt numFmtId="103" formatCode="#,##0.00 %"/>
    <numFmt numFmtId="104" formatCode="#,##0.00"/>
    <numFmt numFmtId="105" formatCode="#,##0.00 %"/>
    <numFmt numFmtId="106" formatCode="#,##0.0000"/>
    <numFmt numFmtId="107" formatCode="#,##0.0000000"/>
    <numFmt numFmtId="108" formatCode="#,##0.00"/>
    <numFmt numFmtId="109" formatCode="#,##0.00 %"/>
    <numFmt numFmtId="110" formatCode="#,##0.0000"/>
    <numFmt numFmtId="111" formatCode="#,##0.0000000"/>
    <numFmt numFmtId="112" formatCode="#,##0.00"/>
    <numFmt numFmtId="113" formatCode="#,##0.00 %"/>
    <numFmt numFmtId="114" formatCode="#,##0.0000"/>
    <numFmt numFmtId="115" formatCode="#,##0.0000000"/>
    <numFmt numFmtId="116" formatCode="#,##0.00"/>
    <numFmt numFmtId="117" formatCode="#,##0.00 %"/>
    <numFmt numFmtId="118" formatCode="#,##0.0000"/>
    <numFmt numFmtId="119" formatCode="#,##0.0000000"/>
    <numFmt numFmtId="120" formatCode="#,##0.00"/>
    <numFmt numFmtId="121" formatCode="#,##0.0000"/>
    <numFmt numFmtId="122" formatCode="#,##0.00"/>
    <numFmt numFmtId="123" formatCode="#,##0.0000"/>
    <numFmt numFmtId="124" formatCode="#,##0.0000000"/>
    <numFmt numFmtId="125" formatCode="#,##0.00 %"/>
    <numFmt numFmtId="126" formatCode="#,##0.00"/>
  </numFmts>
  <fonts count="74">
    <font>
      <name val="Arial"/>
      <sz val="11"/>
      <family val="1"/>
    </font>
    <font>
      <name val="Arial"/>
      <sz val="11"/>
      <family val="1"/>
      <b val="1"/>
    </font>
    <font>
      <name val="Arial"/>
      <sz val="11"/>
      <family val="1"/>
      <b val="1"/>
    </font>
    <font>
      <name val="Arial"/>
      <sz val="11"/>
      <family val="1"/>
      <b val="1"/>
    </font>
    <font>
      <name val="Arial"/>
      <sz val="11"/>
      <family val="1"/>
      <b val="1"/>
    </font>
    <font>
      <name val="Arial"/>
      <sz val="11"/>
      <family val="1"/>
      <b val="1"/>
    </font>
    <font>
      <name val="Arial"/>
      <sz val="10"/>
      <family val="1"/>
      <b val="1"/>
      <color rgb="FF000000"/>
    </font>
    <font>
      <name val="Arial"/>
      <sz val="10"/>
      <family val="1"/>
      <b val="1"/>
      <color rgb="FF000000"/>
    </font>
    <font>
      <name val="Arial"/>
      <sz val="10"/>
      <family val="1"/>
      <b val="1"/>
      <color rgb="FF000000"/>
    </font>
    <font>
      <name val="Arial"/>
      <sz val="10"/>
      <family val="1"/>
      <b val="1"/>
      <color rgb="FF000000"/>
    </font>
    <font>
      <name val="Arial"/>
      <sz val="10"/>
      <family val="1"/>
      <b val="1"/>
      <color rgb="FF000000"/>
    </font>
    <font>
      <name val="Arial"/>
      <sz val="10"/>
      <family val="1"/>
      <b val="1"/>
    </font>
    <font>
      <name val="Arial"/>
      <sz val="10"/>
      <family val="1"/>
      <b val="1"/>
    </font>
    <font>
      <name val="Arial"/>
      <sz val="10"/>
      <family val="1"/>
      <b val="1"/>
    </font>
    <font>
      <name val="Arial"/>
      <sz val="10"/>
      <family val="1"/>
      <color rgb="FF000000"/>
    </font>
    <font>
      <name val="Arial"/>
      <sz val="10"/>
      <family val="1"/>
      <color rgb="FF000000"/>
    </font>
    <font>
      <name val="Arial"/>
      <sz val="10"/>
      <family val="1"/>
      <color rgb="FF000000"/>
    </font>
    <font>
      <name val="Arial"/>
      <sz val="10"/>
      <family val="1"/>
      <color rgb="FF000000"/>
    </font>
    <font>
      <name val="Arial"/>
      <sz val="10"/>
      <family val="1"/>
      <color rgb="FF000000"/>
    </font>
    <font>
      <name val="Arial"/>
      <sz val="10"/>
      <family val="1"/>
      <color rgb="FF000000"/>
    </font>
    <font>
      <name val="Arial"/>
      <sz val="10"/>
      <family val="1"/>
      <color rgb="FF000000"/>
    </font>
    <font>
      <name val="Arial"/>
      <sz val="10"/>
      <family val="1"/>
      <color rgb="FF000000"/>
    </font>
    <font>
      <name val="Arial"/>
      <sz val="10"/>
      <family val="1"/>
      <color rgb="FF000000"/>
    </font>
    <font>
      <name val="Arial"/>
      <sz val="10"/>
      <family val="1"/>
      <color rgb="FF000000"/>
    </font>
    <font>
      <name val="Arial"/>
      <sz val="10"/>
      <family val="1"/>
      <color rgb="FF000000"/>
    </font>
    <font>
      <name val="Arial"/>
      <sz val="10"/>
      <family val="1"/>
    </font>
    <font>
      <name val="Arial"/>
      <sz val="10"/>
      <family val="1"/>
    </font>
    <font>
      <name val="Arial"/>
      <sz val="10"/>
      <family val="1"/>
    </font>
    <font>
      <name val="Arial"/>
      <sz val="10"/>
      <family val="1"/>
    </font>
    <font>
      <name val="Arial"/>
      <sz val="10"/>
      <family val="1"/>
    </font>
    <font>
      <name val="Arial"/>
      <sz val="10"/>
      <family val="1"/>
    </font>
    <font>
      <name val="Arial"/>
      <sz val="10"/>
      <family val="1"/>
    </font>
    <font>
      <name val="Arial"/>
      <sz val="10"/>
      <family val="1"/>
    </font>
    <font>
      <name val="Arial"/>
      <sz val="10"/>
      <family val="1"/>
    </font>
    <font>
      <name val="Arial"/>
      <sz val="10"/>
      <family val="1"/>
    </font>
    <font>
      <name val="Arial"/>
      <sz val="10"/>
      <family val="1"/>
    </font>
    <font>
      <name val="Arial"/>
      <sz val="10"/>
      <family val="1"/>
    </font>
    <font>
      <name val="Arial"/>
      <sz val="10"/>
      <family val="1"/>
    </font>
    <font>
      <name val="Arial"/>
      <sz val="10"/>
      <family val="1"/>
    </font>
    <font>
      <name val="Arial"/>
      <sz val="10"/>
      <family val="1"/>
    </font>
    <font>
      <name val="Arial"/>
      <sz val="10"/>
      <family val="1"/>
    </font>
    <font>
      <name val="Arial"/>
      <sz val="10"/>
      <family val="1"/>
    </font>
    <font>
      <name val="Arial"/>
      <sz val="10"/>
      <family val="1"/>
      <color rgb="FF000000"/>
    </font>
    <font>
      <name val="Arial"/>
      <sz val="10"/>
      <family val="1"/>
      <color rgb="FF000000"/>
    </font>
    <font>
      <name val="Arial"/>
      <sz val="10"/>
      <family val="1"/>
      <color rgb="FF000000"/>
    </font>
    <font>
      <name val="Arial"/>
      <sz val="10"/>
      <family val="1"/>
      <color rgb="FF000000"/>
    </font>
    <font>
      <name val="Arial"/>
      <sz val="10"/>
      <family val="1"/>
      <color rgb="FF000000"/>
    </font>
    <font>
      <name val="Arial"/>
      <sz val="10"/>
      <family val="1"/>
      <color rgb="FF000000"/>
    </font>
    <font>
      <name val="Arial"/>
      <sz val="10"/>
      <family val="1"/>
      <color rgb="FF000000"/>
    </font>
    <font>
      <name val="Arial"/>
      <sz val="10"/>
      <family val="1"/>
      <b val="1"/>
      <color rgb="FF000000"/>
    </font>
    <font>
      <name val="Arial"/>
      <sz val="10"/>
      <family val="1"/>
    </font>
    <font>
      <name val="Arial"/>
      <sz val="10"/>
      <family val="1"/>
    </font>
    <font>
      <name val="Arial"/>
      <sz val="10"/>
      <family val="1"/>
    </font>
    <font>
      <name val="Arial"/>
      <sz val="10"/>
      <family val="1"/>
      <b val="1"/>
    </font>
    <font>
      <name val="Arial"/>
      <sz val="10"/>
      <family val="1"/>
      <b val="1"/>
    </font>
    <font>
      <name val="Arial"/>
      <sz val="10"/>
      <family val="1"/>
      <b val="1"/>
    </font>
    <font>
      <name val="Arial"/>
      <sz val="10"/>
      <family val="1"/>
      <b val="1"/>
    </font>
    <font>
      <name val="Arial"/>
      <sz val="10"/>
      <family val="1"/>
      <b val="1"/>
    </font>
    <font>
      <name val="Arial"/>
      <sz val="10"/>
      <family val="1"/>
      <b val="1"/>
    </font>
    <font>
      <name val="Arial"/>
      <sz val="10"/>
      <family val="1"/>
      <b val="1"/>
    </font>
    <font>
      <name val="Arial"/>
      <sz val="10"/>
      <family val="1"/>
      <b val="1"/>
    </font>
    <font>
      <name val="Arial"/>
      <sz val="10"/>
      <family val="1"/>
      <b val="1"/>
    </font>
    <font>
      <name val="Arial"/>
      <sz val="10"/>
      <family val="1"/>
    </font>
    <font>
      <name val="Arial"/>
      <sz val="10"/>
      <family val="1"/>
    </font>
    <font>
      <name val="Arial"/>
      <sz val="10"/>
      <family val="1"/>
    </font>
    <font>
      <name val="Arial"/>
      <sz val="10"/>
      <family val="1"/>
    </font>
    <font>
      <name val="Arial"/>
      <sz val="10"/>
      <family val="1"/>
    </font>
    <font>
      <name val="Arial"/>
      <sz val="10"/>
      <family val="1"/>
    </font>
    <font>
      <name val="Arial"/>
      <sz val="10"/>
      <family val="1"/>
    </font>
    <font>
      <name val="Arial"/>
      <sz val="10"/>
      <family val="1"/>
      <color rgb="FF000000"/>
    </font>
    <font>
      <name val="Arial"/>
      <sz val="10"/>
      <family val="1"/>
      <color rgb="FF000000"/>
    </font>
    <font>
      <name val="Arial"/>
      <sz val="10"/>
      <family val="1"/>
      <color rgb="FF000000"/>
    </font>
    <font>
      <name val="Arial"/>
      <sz val="10"/>
      <family val="1"/>
      <color rgb="FF000000"/>
    </font>
    <font>
      <name val="Arial"/>
      <sz val="10"/>
      <family val="1"/>
    </font>
  </fonts>
  <fills count="7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D8ECF6"/>
      </patternFill>
    </fill>
    <fill>
      <patternFill patternType="solid">
        <fgColor rgb="FFD8ECF6"/>
      </patternFill>
    </fill>
    <fill>
      <patternFill patternType="solid">
        <fgColor rgb="FFD8ECF6"/>
      </patternFill>
    </fill>
    <fill>
      <patternFill patternType="solid">
        <fgColor rgb="FFD8ECF6"/>
      </patternFill>
    </fill>
    <fill>
      <patternFill patternType="solid">
        <fgColor rgb="FFD8ECF6"/>
      </patternFill>
    </fill>
    <fill>
      <patternFill patternType="solid">
        <fgColor rgb="FFF3FCFF"/>
      </patternFill>
    </fill>
    <fill>
      <patternFill patternType="solid">
        <fgColor rgb="FFF3FCFF"/>
      </patternFill>
    </fill>
    <fill>
      <patternFill patternType="solid">
        <fgColor rgb="FFF3FCFF"/>
      </patternFill>
    </fill>
    <fill>
      <patternFill patternType="solid">
        <fgColor rgb="FFDFF0D8"/>
      </patternFill>
    </fill>
    <fill>
      <patternFill patternType="solid">
        <fgColor rgb="FFDFF0D8"/>
      </patternFill>
    </fill>
    <fill>
      <patternFill patternType="solid">
        <fgColor rgb="FFDFF0D8"/>
      </patternFill>
    </fill>
    <fill>
      <patternFill patternType="solid">
        <fgColor rgb="FFDFF0D8"/>
      </patternFill>
    </fill>
    <fill>
      <patternFill patternType="solid">
        <fgColor rgb="FFDFF0D8"/>
      </patternFill>
    </fill>
    <fill>
      <patternFill patternType="solid">
        <fgColor rgb="FFDFF0D8"/>
      </patternFill>
    </fill>
    <fill>
      <patternFill patternType="solid">
        <fgColor rgb="FFDFF0D8"/>
      </patternFill>
    </fill>
    <fill>
      <patternFill patternType="solid">
        <fgColor rgb="FFDFF0D8"/>
      </patternFill>
    </fill>
    <fill>
      <patternFill patternType="solid">
        <fgColor rgb="FFDFF0D8"/>
      </patternFill>
    </fill>
    <fill>
      <patternFill patternType="solid">
        <fgColor rgb="FFDFF0D8"/>
      </patternFill>
    </fill>
    <fill>
      <patternFill patternType="solid">
        <fgColor rgb="FFDFF0D8"/>
      </patternFill>
    </fill>
    <fill>
      <patternFill patternType="solid">
        <fgColor rgb="FFF8FFF4"/>
      </patternFill>
    </fill>
    <fill>
      <patternFill patternType="solid">
        <fgColor rgb="FFF8FFF4"/>
      </patternFill>
    </fill>
    <fill>
      <patternFill patternType="solid">
        <fgColor rgb="FFF8FFF4"/>
      </patternFill>
    </fill>
    <fill>
      <patternFill patternType="solid">
        <fgColor rgb="FFD6D6D6"/>
      </patternFill>
    </fill>
    <fill>
      <patternFill patternType="solid">
        <fgColor rgb="FFD6D6D6"/>
      </patternFill>
    </fill>
    <fill>
      <patternFill patternType="solid">
        <fgColor rgb="FFD6D6D6"/>
      </patternFill>
    </fill>
    <fill>
      <patternFill patternType="solid">
        <fgColor rgb="FFD6D6D6"/>
      </patternFill>
    </fill>
    <fill>
      <patternFill patternType="solid">
        <fgColor rgb="FFD6D6D6"/>
      </patternFill>
    </fill>
    <fill>
      <patternFill patternType="solid">
        <fgColor rgb="FFD6D6D6"/>
      </patternFill>
    </fill>
    <fill>
      <patternFill patternType="solid">
        <fgColor rgb="FFD6D6D6"/>
      </patternFill>
    </fill>
    <fill>
      <patternFill patternType="solid">
        <fgColor rgb="FFEFEFEF"/>
      </patternFill>
    </fill>
    <fill>
      <patternFill patternType="solid">
        <fgColor rgb="FFEFEFEF"/>
      </patternFill>
    </fill>
    <fill>
      <patternFill patternType="solid">
        <fgColor rgb="FFEFEFEF"/>
      </patternFill>
    </fill>
    <fill>
      <patternFill patternType="solid">
        <fgColor rgb="FFEFEFEF"/>
      </patternFill>
    </fill>
    <fill>
      <patternFill patternType="solid">
        <fgColor rgb="FFEFEFEF"/>
      </patternFill>
    </fill>
    <fill>
      <patternFill patternType="solid">
        <fgColor rgb="FFEFEFEF"/>
      </patternFill>
    </fill>
    <fill>
      <patternFill patternType="solid">
        <fgColor rgb="FFEFEFEF"/>
      </patternFill>
    </fill>
    <fill>
      <patternFill patternType="solid">
        <fgColor rgb="FFF7F3DF"/>
      </patternFill>
    </fill>
    <fill>
      <patternFill patternType="solid">
        <fgColor rgb="FFF7F3DF"/>
      </patternFill>
    </fill>
    <fill>
      <patternFill patternType="solid">
        <fgColor rgb="FFF7F3DF"/>
      </patternFill>
    </fill>
    <fill>
      <patternFill patternType="solid">
        <fgColor rgb="FFF7F3DF"/>
      </patternFill>
    </fill>
    <fill>
      <patternFill patternType="solid">
        <fgColor rgb="FFF7F3DF"/>
      </patternFill>
    </fill>
    <fill>
      <patternFill patternType="solid">
        <fgColor rgb="FFF7F3DF"/>
      </patternFill>
    </fill>
    <fill>
      <patternFill patternType="solid">
        <fgColor rgb="FFF7F3DF"/>
      </patternFill>
    </fill>
    <fill>
      <patternFill patternType="solid">
        <fgColor rgb="FFF7F3DF"/>
      </patternFill>
    </fill>
    <fill>
      <patternFill patternType="solid">
        <fgColor rgb="FFFFFDF3"/>
      </patternFill>
    </fill>
    <fill>
      <patternFill patternType="solid">
        <fgColor rgb="FFFFFDF3"/>
      </patternFill>
    </fill>
    <fill>
      <patternFill patternType="solid">
        <fgColor rgb="FFFFFDF3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D8ECF6"/>
      </patternFill>
    </fill>
    <fill>
      <patternFill patternType="solid">
        <fgColor rgb="FFD8ECF6"/>
      </patternFill>
    </fill>
    <fill>
      <patternFill patternType="solid">
        <fgColor rgb="FFDFF0D8"/>
      </patternFill>
    </fill>
    <fill>
      <patternFill patternType="solid">
        <fgColor rgb="FFF7F3DF"/>
      </patternFill>
    </fill>
    <fill>
      <patternFill patternType="solid">
        <fgColor rgb="FFFFFFFF"/>
      </patternFill>
    </fill>
  </fills>
  <borders count="59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top style="thick">
        <color rgb="FF000000"/>
      </top>
    </border>
    <border>
      <top style="thick">
        <color rgb="FF000000"/>
      </top>
    </border>
    <border>
      <top style="thick">
        <color rgb="FF000000"/>
      </top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bottom style="thick">
        <color rgb="FFFF5500"/>
      </bottom>
    </border>
    <border>
      <bottom style="thick">
        <color rgb="FF0092F6"/>
      </bottom>
    </border>
    <border>
      <bottom style="thick">
        <color rgb="FFFF5500"/>
      </bottom>
    </border>
    <border>
      <bottom style="thick">
        <color rgb="FFFF5500"/>
      </bottom>
    </border>
  </borders>
  <cellStyleXfs count="1">
    <xf borderId="0" numFmtId="0" fontId="0" fillId="0"/>
  </cellStyleXfs>
  <cellXfs count="76">
    <xf borderId="0" numFmtId="0" fontId="0" fillId="0" xfId="0"/>
    <xf borderId="1" numFmtId="0" fontId="0" fillId="0" xfId="0"/>
    <xf borderId="0" numFmtId="14" fontId="0" fillId="0" xfId="0" applyNumberFormat="1"/>
    <xf borderId="0" numFmtId="0" fontId="1" fillId="2" applyNumberFormat="0" applyFill="1" applyFont="1" applyBorder="0" applyAlignment="1" applyProtection="0">
      <alignment horizontal="left" vertical="top" wrapText="1"/>
    </xf>
    <xf borderId="0" numFmtId="0" fontId="2" fillId="3" applyNumberFormat="0" applyFill="1" applyFont="1" applyBorder="0" applyAlignment="1" applyProtection="0">
      <alignment horizontal="center" vertical="bottom" wrapText="1"/>
    </xf>
    <xf borderId="2" numFmtId="0" fontId="3" fillId="4" applyNumberFormat="0" applyFill="1" applyFont="1" applyBorder="1" applyAlignment="1" applyProtection="0">
      <alignment horizontal="left" vertical="top" wrapText="1"/>
    </xf>
    <xf borderId="3" numFmtId="0" fontId="4" fillId="5" applyNumberFormat="0" applyFill="1" applyFont="1" applyBorder="1" applyAlignment="1" applyProtection="0">
      <alignment horizontal="center" vertical="top" wrapText="1"/>
    </xf>
    <xf borderId="4" numFmtId="0" fontId="5" fillId="6" applyNumberFormat="0" applyFill="1" applyFont="1" applyBorder="1" applyAlignment="1" applyProtection="0">
      <alignment horizontal="right" vertical="top" wrapText="1"/>
    </xf>
    <xf borderId="5" numFmtId="0" fontId="6" fillId="7" applyNumberFormat="0" applyFill="1" applyFont="1" applyBorder="1" applyAlignment="1" applyProtection="0">
      <alignment horizontal="left" vertical="top" wrapText="1"/>
    </xf>
    <xf borderId="6" numFmtId="0" fontId="7" fillId="8" applyNumberFormat="0" applyFill="1" applyFont="1" applyBorder="1" applyAlignment="1" applyProtection="0">
      <alignment horizontal="center" vertical="top" wrapText="1"/>
    </xf>
    <xf borderId="7" numFmtId="0" fontId="8" fillId="9" applyNumberFormat="0" applyFill="1" applyFont="1" applyBorder="1" applyAlignment="1" applyProtection="0">
      <alignment horizontal="right" vertical="top" wrapText="1"/>
    </xf>
    <xf borderId="8" numFmtId="102" fontId="9" fillId="10" applyNumberFormat="1" applyFill="1" applyFont="1" applyBorder="1" applyAlignment="1" applyProtection="0">
      <alignment horizontal="right" vertical="top" wrapText="1"/>
    </xf>
    <xf borderId="9" numFmtId="103" fontId="10" fillId="11" applyNumberFormat="1" applyFill="1" applyFont="1" applyBorder="1" applyAlignment="1" applyProtection="0">
      <alignment horizontal="right" vertical="top" wrapText="1"/>
    </xf>
    <xf borderId="10" numFmtId="0" fontId="11" fillId="12" applyNumberFormat="0" applyFill="1" applyFont="1" applyBorder="1" applyAlignment="1" applyProtection="0">
      <alignment horizontal="left" vertical="top" wrapText="1"/>
    </xf>
    <xf borderId="11" numFmtId="0" fontId="12" fillId="13" applyNumberFormat="0" applyFill="1" applyFont="1" applyBorder="1" applyAlignment="1" applyProtection="0">
      <alignment horizontal="center" vertical="top" wrapText="1"/>
    </xf>
    <xf borderId="12" numFmtId="0" fontId="13" fillId="14" applyNumberFormat="0" applyFill="1" applyFont="1" applyBorder="1" applyAlignment="1" applyProtection="0">
      <alignment horizontal="right" vertical="top" wrapText="1"/>
    </xf>
    <xf borderId="13" numFmtId="0" fontId="14" fillId="15" applyNumberFormat="0" applyFill="1" applyFont="1" applyBorder="1" applyAlignment="1" applyProtection="0">
      <alignment horizontal="left" vertical="top" wrapText="1"/>
    </xf>
    <xf borderId="14" numFmtId="0" fontId="15" fillId="16" applyNumberFormat="0" applyFill="1" applyFont="1" applyBorder="1" applyAlignment="1" applyProtection="0">
      <alignment horizontal="center" vertical="top" wrapText="1"/>
    </xf>
    <xf borderId="15" numFmtId="0" fontId="16" fillId="17" applyNumberFormat="0" applyFill="1" applyFont="1" applyBorder="1" applyAlignment="1" applyProtection="0">
      <alignment horizontal="right" vertical="top" wrapText="1"/>
    </xf>
    <xf borderId="16" numFmtId="104" fontId="17" fillId="18" applyNumberFormat="1" applyFill="1" applyFont="1" applyBorder="1" applyAlignment="1" applyProtection="0">
      <alignment horizontal="right" vertical="top" wrapText="1"/>
    </xf>
    <xf borderId="17" numFmtId="105" fontId="18" fillId="19" applyNumberFormat="1" applyFill="1" applyFont="1" applyBorder="1" applyAlignment="1" applyProtection="0">
      <alignment horizontal="right" vertical="top" wrapText="1"/>
    </xf>
    <xf borderId="18" numFmtId="106" fontId="19" fillId="20" applyNumberFormat="1" applyFill="1" applyFont="1" applyBorder="1" applyAlignment="1" applyProtection="0">
      <alignment horizontal="right" vertical="top" wrapText="1"/>
    </xf>
    <xf borderId="19" numFmtId="107" fontId="20" fillId="21" applyNumberFormat="1" applyFill="1" applyFont="1" applyBorder="1" applyAlignment="1" applyProtection="0">
      <alignment horizontal="right" vertical="top" wrapText="1"/>
    </xf>
    <xf borderId="20" numFmtId="0" fontId="21" fillId="22" applyNumberFormat="0" applyFill="1" applyFont="1" applyBorder="1" applyAlignment="1" applyProtection="0">
      <alignment horizontal="right" vertical="top" wrapText="1"/>
    </xf>
    <xf borderId="21" numFmtId="0" fontId="22" fillId="23" applyNumberFormat="0" applyFill="1" applyFont="1" applyBorder="1" applyAlignment="1" applyProtection="0">
      <alignment horizontal="left" vertical="top" wrapText="1"/>
    </xf>
    <xf borderId="22" numFmtId="0" fontId="23" fillId="24" applyNumberFormat="0" applyFill="1" applyFont="1" applyBorder="1" applyAlignment="1" applyProtection="0">
      <alignment horizontal="center" vertical="top" wrapText="1"/>
    </xf>
    <xf borderId="23" numFmtId="0" fontId="24" fillId="25" applyNumberFormat="0" applyFill="1" applyFont="1" applyBorder="1" applyAlignment="1" applyProtection="0">
      <alignment horizontal="right" vertical="top" wrapText="1"/>
    </xf>
    <xf borderId="24" numFmtId="0" fontId="25" fillId="26" applyNumberFormat="0" applyFill="1" applyFont="1" applyBorder="1" applyAlignment="1" applyProtection="0">
      <alignment horizontal="left" vertical="top" wrapText="1"/>
    </xf>
    <xf borderId="25" numFmtId="0" fontId="26" fillId="27" applyNumberFormat="0" applyFill="1" applyFont="1" applyBorder="1" applyAlignment="1" applyProtection="0">
      <alignment horizontal="center" vertical="top" wrapText="1"/>
    </xf>
    <xf borderId="26" numFmtId="0" fontId="27" fillId="28" applyNumberFormat="0" applyFill="1" applyFont="1" applyBorder="1" applyAlignment="1" applyProtection="0">
      <alignment horizontal="right" vertical="top" wrapText="1"/>
    </xf>
    <xf borderId="27" numFmtId="0" fontId="28" fillId="29" applyNumberFormat="0" applyFill="1" applyFont="1" applyBorder="1" applyAlignment="1" applyProtection="0">
      <alignment horizontal="left" vertical="top" wrapText="1"/>
    </xf>
    <xf borderId="28" numFmtId="0" fontId="29" fillId="30" applyNumberFormat="0" applyFill="1" applyFont="1" applyBorder="1" applyAlignment="1" applyProtection="0">
      <alignment horizontal="center" vertical="top" wrapText="1"/>
    </xf>
    <xf borderId="29" numFmtId="0" fontId="30" fillId="31" applyNumberFormat="0" applyFill="1" applyFont="1" applyBorder="1" applyAlignment="1" applyProtection="0">
      <alignment horizontal="right" vertical="top" wrapText="1"/>
    </xf>
    <xf borderId="30" numFmtId="108" fontId="31" fillId="32" applyNumberFormat="1" applyFill="1" applyFont="1" applyBorder="1" applyAlignment="1" applyProtection="0">
      <alignment horizontal="right" vertical="top" wrapText="1"/>
    </xf>
    <xf borderId="31" numFmtId="109" fontId="32" fillId="33" applyNumberFormat="1" applyFill="1" applyFont="1" applyBorder="1" applyAlignment="1" applyProtection="0">
      <alignment horizontal="right" vertical="top" wrapText="1"/>
    </xf>
    <xf borderId="32" numFmtId="110" fontId="33" fillId="34" applyNumberFormat="1" applyFill="1" applyFont="1" applyBorder="1" applyAlignment="1" applyProtection="0">
      <alignment horizontal="right" vertical="top" wrapText="1"/>
    </xf>
    <xf borderId="33" numFmtId="111" fontId="34" fillId="35" applyNumberFormat="1" applyFill="1" applyFont="1" applyBorder="1" applyAlignment="1" applyProtection="0">
      <alignment horizontal="right" vertical="top" wrapText="1"/>
    </xf>
    <xf borderId="34" numFmtId="0" fontId="35" fillId="36" applyNumberFormat="0" applyFill="1" applyFont="1" applyBorder="1" applyAlignment="1" applyProtection="0">
      <alignment horizontal="left" vertical="top" wrapText="1"/>
    </xf>
    <xf borderId="35" numFmtId="0" fontId="36" fillId="37" applyNumberFormat="0" applyFill="1" applyFont="1" applyBorder="1" applyAlignment="1" applyProtection="0">
      <alignment horizontal="center" vertical="top" wrapText="1"/>
    </xf>
    <xf borderId="36" numFmtId="0" fontId="37" fillId="38" applyNumberFormat="0" applyFill="1" applyFont="1" applyBorder="1" applyAlignment="1" applyProtection="0">
      <alignment horizontal="right" vertical="top" wrapText="1"/>
    </xf>
    <xf borderId="37" numFmtId="112" fontId="38" fillId="39" applyNumberFormat="1" applyFill="1" applyFont="1" applyBorder="1" applyAlignment="1" applyProtection="0">
      <alignment horizontal="right" vertical="top" wrapText="1"/>
    </xf>
    <xf borderId="38" numFmtId="113" fontId="39" fillId="40" applyNumberFormat="1" applyFill="1" applyFont="1" applyBorder="1" applyAlignment="1" applyProtection="0">
      <alignment horizontal="right" vertical="top" wrapText="1"/>
    </xf>
    <xf borderId="39" numFmtId="114" fontId="40" fillId="41" applyNumberFormat="1" applyFill="1" applyFont="1" applyBorder="1" applyAlignment="1" applyProtection="0">
      <alignment horizontal="right" vertical="top" wrapText="1"/>
    </xf>
    <xf borderId="40" numFmtId="115" fontId="41" fillId="42" applyNumberFormat="1" applyFill="1" applyFont="1" applyBorder="1" applyAlignment="1" applyProtection="0">
      <alignment horizontal="right" vertical="top" wrapText="1"/>
    </xf>
    <xf borderId="41" numFmtId="0" fontId="42" fillId="43" applyNumberFormat="0" applyFill="1" applyFont="1" applyBorder="1" applyAlignment="1" applyProtection="0">
      <alignment horizontal="left" vertical="top" wrapText="1"/>
    </xf>
    <xf borderId="42" numFmtId="0" fontId="43" fillId="44" applyNumberFormat="0" applyFill="1" applyFont="1" applyBorder="1" applyAlignment="1" applyProtection="0">
      <alignment horizontal="center" vertical="top" wrapText="1"/>
    </xf>
    <xf borderId="43" numFmtId="0" fontId="44" fillId="45" applyNumberFormat="0" applyFill="1" applyFont="1" applyBorder="1" applyAlignment="1" applyProtection="0">
      <alignment horizontal="right" vertical="top" wrapText="1"/>
    </xf>
    <xf borderId="44" numFmtId="116" fontId="45" fillId="46" applyNumberFormat="1" applyFill="1" applyFont="1" applyBorder="1" applyAlignment="1" applyProtection="0">
      <alignment horizontal="right" vertical="top" wrapText="1"/>
    </xf>
    <xf borderId="45" numFmtId="117" fontId="46" fillId="47" applyNumberFormat="1" applyFill="1" applyFont="1" applyBorder="1" applyAlignment="1" applyProtection="0">
      <alignment horizontal="right" vertical="top" wrapText="1"/>
    </xf>
    <xf borderId="46" numFmtId="118" fontId="47" fillId="48" applyNumberFormat="1" applyFill="1" applyFont="1" applyBorder="1" applyAlignment="1" applyProtection="0">
      <alignment horizontal="right" vertical="top" wrapText="1"/>
    </xf>
    <xf borderId="47" numFmtId="119" fontId="48" fillId="49" applyNumberFormat="1" applyFill="1" applyFont="1" applyBorder="1" applyAlignment="1" applyProtection="0">
      <alignment horizontal="right" vertical="top" wrapText="1"/>
    </xf>
    <xf borderId="48" numFmtId="0" fontId="49" fillId="50" applyNumberFormat="0" applyFill="1" applyFont="1" applyBorder="1" applyAlignment="1" applyProtection="0">
      <alignment horizontal="right" vertical="top" wrapText="1"/>
    </xf>
    <xf borderId="49" numFmtId="0" fontId="50" fillId="51" applyNumberFormat="0" applyFill="1" applyFont="1" applyBorder="1" applyAlignment="1" applyProtection="0">
      <alignment horizontal="left" vertical="top" wrapText="1"/>
    </xf>
    <xf borderId="50" numFmtId="0" fontId="51" fillId="52" applyNumberFormat="0" applyFill="1" applyFont="1" applyBorder="1" applyAlignment="1" applyProtection="0">
      <alignment horizontal="center" vertical="top" wrapText="1"/>
    </xf>
    <xf borderId="51" numFmtId="0" fontId="52" fillId="53" applyNumberFormat="0" applyFill="1" applyFont="1" applyBorder="1" applyAlignment="1" applyProtection="0">
      <alignment horizontal="right" vertical="top" wrapText="1"/>
    </xf>
    <xf borderId="0" numFmtId="0" fontId="53" fillId="54" applyNumberFormat="0" applyFill="1" applyFont="1" applyBorder="0" applyAlignment="1" applyProtection="0">
      <alignment horizontal="left" vertical="top" wrapText="1"/>
    </xf>
    <xf borderId="0" numFmtId="0" fontId="54" fillId="55" applyNumberFormat="0" applyFill="1" applyFont="1" applyBorder="0" applyAlignment="1" applyProtection="0">
      <alignment horizontal="center" vertical="top" wrapText="1"/>
    </xf>
    <xf borderId="0" numFmtId="0" fontId="55" fillId="56" applyNumberFormat="0" applyFill="1" applyFont="1" applyBorder="0" applyAlignment="1" applyProtection="0">
      <alignment horizontal="right" vertical="top" wrapText="1"/>
    </xf>
    <xf borderId="0" numFmtId="120" fontId="56" fillId="57" applyNumberFormat="1" applyFill="1" applyFont="1" applyBorder="0" applyAlignment="1" applyProtection="0">
      <alignment horizontal="right" vertical="top" wrapText="1"/>
    </xf>
    <xf borderId="0" numFmtId="121" fontId="57" fillId="58" applyNumberFormat="1" applyFill="1" applyFont="1" applyBorder="0" applyAlignment="1" applyProtection="0">
      <alignment horizontal="right" vertical="top" wrapText="1"/>
    </xf>
    <xf borderId="0" numFmtId="122" fontId="58" fillId="59" applyNumberFormat="1" applyFill="1" applyFont="1" applyBorder="0" applyAlignment="1" applyProtection="0">
      <alignment horizontal="left" vertical="top" wrapText="1"/>
    </xf>
    <xf borderId="0" numFmtId="123" fontId="59" fillId="60" applyNumberFormat="1" applyFill="1" applyFont="1" applyBorder="0" applyAlignment="1" applyProtection="0">
      <alignment horizontal="left" vertical="top" wrapText="1"/>
    </xf>
    <xf borderId="0" numFmtId="124" fontId="60" fillId="61" applyNumberFormat="1" applyFill="1" applyFont="1" applyBorder="0" applyAlignment="1" applyProtection="0">
      <alignment horizontal="right" vertical="top" wrapText="1"/>
    </xf>
    <xf borderId="0" numFmtId="125" fontId="61" fillId="62" applyNumberFormat="1" applyFill="1" applyFont="1" applyBorder="0" applyAlignment="1" applyProtection="0">
      <alignment horizontal="right" vertical="top" wrapText="1"/>
    </xf>
    <xf borderId="0" numFmtId="0" fontId="62" fillId="63" applyNumberFormat="0" applyFill="1" applyFont="1" applyBorder="0" applyAlignment="1" applyProtection="0">
      <alignment horizontal="left" vertical="top" wrapText="1"/>
    </xf>
    <xf borderId="0" numFmtId="0" fontId="63" fillId="64" applyNumberFormat="0" applyFill="1" applyFont="1" applyBorder="0" applyAlignment="1" applyProtection="0">
      <alignment horizontal="center" vertical="top" wrapText="1"/>
    </xf>
    <xf borderId="0" numFmtId="0" fontId="64" fillId="65" applyNumberFormat="0" applyFill="1" applyFont="1" applyBorder="0" applyAlignment="1" applyProtection="0">
      <alignment horizontal="right" vertical="top" wrapText="1"/>
    </xf>
    <xf borderId="0" numFmtId="126" fontId="65" fillId="66" applyNumberFormat="1" applyFill="1" applyFont="1" applyBorder="0" applyAlignment="1" applyProtection="0">
      <alignment horizontal="right" vertical="top" wrapText="1"/>
    </xf>
    <xf borderId="52" numFmtId="0" fontId="66" fillId="67" applyNumberFormat="0" applyFill="1" applyFont="1" applyBorder="1" applyAlignment="1" applyProtection="0">
      <alignment horizontal="left" vertical="top" wrapText="1"/>
    </xf>
    <xf borderId="53" numFmtId="0" fontId="67" fillId="68" applyNumberFormat="0" applyFill="1" applyFont="1" applyBorder="1" applyAlignment="1" applyProtection="0">
      <alignment horizontal="center" vertical="top" wrapText="1"/>
    </xf>
    <xf borderId="54" numFmtId="0" fontId="68" fillId="69" applyNumberFormat="0" applyFill="1" applyFont="1" applyBorder="1" applyAlignment="1" applyProtection="0">
      <alignment horizontal="right" vertical="top" wrapText="1"/>
    </xf>
    <xf borderId="55" numFmtId="0" fontId="69" fillId="70" applyNumberFormat="0" applyFill="1" applyFont="1" applyBorder="1" applyAlignment="1" applyProtection="0">
      <alignment horizontal="right" vertical="top" wrapText="1"/>
    </xf>
    <xf borderId="56" numFmtId="0" fontId="70" fillId="71" applyNumberFormat="0" applyFill="1" applyFont="1" applyBorder="1" applyAlignment="1" applyProtection="0">
      <alignment horizontal="right" vertical="top" wrapText="1"/>
    </xf>
    <xf borderId="57" numFmtId="0" fontId="71" fillId="72" applyNumberFormat="0" applyFill="1" applyFont="1" applyBorder="1" applyAlignment="1" applyProtection="0">
      <alignment horizontal="right" vertical="top" wrapText="1"/>
    </xf>
    <xf borderId="58" numFmtId="0" fontId="72" fillId="73" applyNumberFormat="0" applyFill="1" applyFont="1" applyBorder="1" applyAlignment="1" applyProtection="0">
      <alignment horizontal="right" vertical="top" wrapText="1"/>
    </xf>
    <xf borderId="0" numFmtId="0" fontId="73" fillId="74" applyNumberFormat="0" applyFill="1" applyFont="1" applyBorder="0" applyAlignment="1" applyProtection="0">
      <alignment horizontal="center" wrapText="1"/>
    </xf>
  </cellXfs>
  <cellStyles count="1">
    <cellStyle name="Normal" xfId="0"/>
  </cellStyles>
  <dxfs count="0"/>
  <tableStyles defaultTableStyle="TableStyleMedium9" defaultPivotStyle="PivotStyleLight16" count="0"/>
</styleSheet>
</file>

<file path=xl/_rels/workbook.xml.rels><?xml version="1.0" encoding="UTF-8"?><Relationships xmlns="http://schemas.openxmlformats.org/package/2006/relationships"><Relationship Target="worksheets/sheet1.xml" Type="http://schemas.openxmlformats.org/officeDocument/2006/relationships/worksheet" Id="rId4"/><Relationship Target="styles.xml" Type="http://schemas.openxmlformats.org/officeDocument/2006/relationships/styles" Id="rId5"/></Relationships>
</file>

<file path=xl/drawings/_rels/drawing1.xml.rels><?xml version="1.0" encoding="UTF-8"?><Relationships xmlns="http://schemas.openxmlformats.org/package/2006/relationships"><Relationship Target="../media/image1.jpeg" Type="http://schemas.openxmlformats.org/officeDocument/2006/relationships/image" Id="rId6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33500" cy="1181100"/>
    <xdr:pic>
      <xdr:nvPicPr>
        <xdr:cNvPr id="2" name="" descr=""/>
        <xdr:cNvPicPr>
          <a:picLocks noChangeAspect="1" noSelect="1" noMove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0"/>
          <a:ext cx="2336800" cy="2161540"/>
        </a:xfrm>
        <a:prstGeom prst="rect">
          <a:avLst/>
        </a:prstGeom>
      </xdr:spPr>
    </xdr:pic>
    <xdr:clientData/>
  </xdr:oneCellAnchor>
</xdr:wsDr>
</file>

<file path=xl/worksheets/_rels/sheet1.xml.rels><?xml version="1.0" encoding="UTF-8"?><Relationships xmlns="http://schemas.openxmlformats.org/package/2006/relationships"><Relationship Target="../drawings/drawing1.xml" Type="http://schemas.openxmlformats.org/officeDocument/2006/relationships/drawing" Id="rId7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pageSetUpPr fitToPage="1"/>
  </sheetPr>
  <dimension ref="A1:A138"/>
  <sheetViews>
    <sheetView windowProtection="0" tabSelected="0" showWhiteSpace="0" showOutlineSymbols="0" showFormulas="0" rightToLeft="0" showZeros="1" showRuler="1" showRowColHeaders="1" showGridLines="1" defaultGridColor="1" zoomScale="100" workbookViewId="0" zoomScaleSheetLayoutView="0" zoomScalePageLayoutView="0" zoomScaleNormal="0"/>
  </sheetViews>
  <sheetFormatPr baseColWidth="8" defaultRowHeight="18"/>
  <cols>
    <col min="1" max="1" bestFit="1" customWidth="1" width="10"/>
    <col min="2" max="2" bestFit="1" customWidth="1" width="10"/>
    <col min="3" max="3" bestFit="1" customWidth="1" width="13.2"/>
    <col min="4" max="4" bestFit="1" customWidth="1" width="60"/>
    <col min="5" max="5" bestFit="1" customWidth="1" width="8"/>
    <col min="6" max="6" bestFit="1" customWidth="1" width="13"/>
    <col min="7" max="7" bestFit="1" customWidth="1" width="13"/>
    <col min="8" max="8" bestFit="1" customWidth="1" width="13"/>
    <col min="9" max="9" bestFit="1" customWidth="1" width="13"/>
    <col min="10" max="10" bestFit="1" customWidth="1" width="13"/>
  </cols>
  <sheetData>
    <row r="1">
      <c r="A1" s="3"/>
      <c r="B1" s="3"/>
      <c r="C1" s="3"/>
      <c r="D1" s="3" t="inlineStr">
        <is>
          <t>Obra</t>
        </is>
      </c>
      <c r="E1" s="3" t="inlineStr">
        <is>
          <t>Bancos</t>
        </is>
      </c>
      <c r="F1" s="3"/>
      <c r="G1" s="3" t="inlineStr">
        <is>
          <t>B.D.I.</t>
        </is>
      </c>
      <c r="H1" s="3"/>
      <c r="I1" s="3" t="inlineStr">
        <is>
          <t>Encargos Sociais</t>
        </is>
      </c>
      <c r="J1" s="3"/>
    </row>
    <row customHeight="1" ht="80" r="2">
      <c r="A2" s="55"/>
      <c r="B2" s="55"/>
      <c r="C2" s="55"/>
      <c r="D2" s="55" t="inlineStr">
        <is>
          <t>REFORMA CRAS</t>
        </is>
      </c>
      <c r="E2" s="55" t="inlineStr">
        <is>
          <t>SINAPI - 05/2022 - Mato Grosso
SBC - 06/2022 - Mato Grosso
</t>
        </is>
      </c>
      <c r="F2" s="55"/>
      <c r="G2" s="55" t="inlineStr">
        <is>
          <t>26,86%</t>
        </is>
      </c>
      <c r="H2" s="55"/>
      <c r="I2" s="55" t="inlineStr">
        <is>
          <t>Não Desonerado: embutido nos preços unitário dos insumos de mão de obra, de acordo com as bases.</t>
        </is>
      </c>
      <c r="J2" s="55"/>
    </row>
    <row r="3">
      <c r="A3" s="4" t="inlineStr">
        <is>
          <t>Orçamento Sintético</t>
        </is>
      </c>
    </row>
    <row customHeight="1" ht="30" r="4">
      <c r="A4" s="5" t="inlineStr">
        <is>
          <t>Item</t>
        </is>
      </c>
      <c r="B4" s="7" t="inlineStr">
        <is>
          <t>Código</t>
        </is>
      </c>
      <c r="C4" s="5" t="inlineStr">
        <is>
          <t>Banco</t>
        </is>
      </c>
      <c r="D4" s="5" t="inlineStr">
        <is>
          <t>Descrição</t>
        </is>
      </c>
      <c r="E4" s="6" t="inlineStr">
        <is>
          <t>Und</t>
        </is>
      </c>
      <c r="F4" s="7" t="inlineStr">
        <is>
          <t>Quant.</t>
        </is>
      </c>
      <c r="G4" s="7" t="inlineStr">
        <is>
          <t>Valor Unit</t>
        </is>
      </c>
      <c r="H4" s="7" t="inlineStr">
        <is>
          <t>Valor Unit com BDI</t>
        </is>
      </c>
      <c r="I4" s="7" t="inlineStr">
        <is>
          <t>Total</t>
        </is>
      </c>
      <c r="J4" s="7" t="inlineStr">
        <is>
          <t>Peso (%)</t>
        </is>
      </c>
    </row>
    <row customHeight="1" ht="24" r="5">
      <c r="A5" s="8" t="inlineStr">
        <is>
          <t> 1 </t>
        </is>
      </c>
      <c r="B5" s="8"/>
      <c r="C5" s="8"/>
      <c r="D5" s="8" t="inlineStr">
        <is>
          <t>SERVIÇOS PRELIMINARES</t>
        </is>
      </c>
      <c r="E5" s="8"/>
      <c r="F5" s="10"/>
      <c r="G5" s="8"/>
      <c r="H5" s="8"/>
      <c r="I5" s="11" t="n">
        <v>4577.08</v>
      </c>
      <c r="J5" s="12" t="str">
        <f>i5 / 237176.09</f>
      </c>
    </row>
    <row customHeight="1" ht="24" r="6">
      <c r="A6" s="16" t="inlineStr">
        <is>
          <t> 1.1 </t>
        </is>
      </c>
      <c r="B6" s="18" t="inlineStr">
        <is>
          <t> 74209/001 </t>
        </is>
      </c>
      <c r="C6" s="16" t="inlineStr">
        <is>
          <t>SINAPI</t>
        </is>
      </c>
      <c r="D6" s="16" t="inlineStr">
        <is>
          <t>PLACA DE OBRA EM CHAPA DE ACO GALVANIZADO</t>
        </is>
      </c>
      <c r="E6" s="17" t="inlineStr">
        <is>
          <t>m²</t>
        </is>
      </c>
      <c r="F6" s="18" t="n">
        <v>2.0</v>
      </c>
      <c r="G6" s="19" t="n">
        <v>424.51</v>
      </c>
      <c r="H6" s="19" t="str">
        <f>TRUNC(G6 * (1 + 26.86 / 100), 2)</f>
      </c>
      <c r="I6" s="19" t="str">
        <f>TRUNC(F6 * h6, 2)</f>
      </c>
      <c r="J6" s="20" t="str">
        <f>i6 / 237176.09</f>
      </c>
    </row>
    <row customHeight="1" ht="36" r="7">
      <c r="A7" s="16" t="inlineStr">
        <is>
          <t> 1.2 </t>
        </is>
      </c>
      <c r="B7" s="18" t="inlineStr">
        <is>
          <t> 99059 </t>
        </is>
      </c>
      <c r="C7" s="16" t="inlineStr">
        <is>
          <t>SINAPI</t>
        </is>
      </c>
      <c r="D7" s="16" t="inlineStr">
        <is>
          <t>LOCACAO CONVENCIONAL DE OBRA, UTILIZANDO GABARITO DE TÁBUAS CORRIDAS PONTALETADAS A CADA 2,00M -  2 UTILIZAÇÕES. AF_10/2018</t>
        </is>
      </c>
      <c r="E7" s="17" t="inlineStr">
        <is>
          <t>M</t>
        </is>
      </c>
      <c r="F7" s="18" t="n">
        <v>53.46</v>
      </c>
      <c r="G7" s="19" t="n">
        <v>51.61</v>
      </c>
      <c r="H7" s="19" t="str">
        <f>TRUNC(G7 * (1 + 26.86 / 100), 2)</f>
      </c>
      <c r="I7" s="19" t="str">
        <f>TRUNC(F7 * h7, 2)</f>
      </c>
      <c r="J7" s="20" t="str">
        <f>i7 / 237176.09</f>
      </c>
    </row>
    <row customHeight="1" ht="24" r="8">
      <c r="A8" s="8" t="inlineStr">
        <is>
          <t> 2 </t>
        </is>
      </c>
      <c r="B8" s="8"/>
      <c r="C8" s="8"/>
      <c r="D8" s="8" t="inlineStr">
        <is>
          <t>MOVIMENTO DE TERRA</t>
        </is>
      </c>
      <c r="E8" s="8"/>
      <c r="F8" s="10"/>
      <c r="G8" s="8"/>
      <c r="H8" s="8"/>
      <c r="I8" s="11" t="n">
        <v>631.36</v>
      </c>
      <c r="J8" s="12" t="str">
        <f>i8 / 237176.09</f>
      </c>
    </row>
    <row customHeight="1" ht="24" r="9">
      <c r="A9" s="8" t="inlineStr">
        <is>
          <t> 2.1 </t>
        </is>
      </c>
      <c r="B9" s="8"/>
      <c r="C9" s="8"/>
      <c r="D9" s="8" t="inlineStr">
        <is>
          <t>SAPATA</t>
        </is>
      </c>
      <c r="E9" s="8"/>
      <c r="F9" s="10"/>
      <c r="G9" s="8"/>
      <c r="H9" s="8"/>
      <c r="I9" s="11" t="n">
        <v>285.65</v>
      </c>
      <c r="J9" s="12" t="str">
        <f>i9 / 237176.09</f>
      </c>
    </row>
    <row customHeight="1" ht="36" r="10">
      <c r="A10" s="16" t="inlineStr">
        <is>
          <t> 2.1.1 </t>
        </is>
      </c>
      <c r="B10" s="18" t="inlineStr">
        <is>
          <t> 96520 </t>
        </is>
      </c>
      <c r="C10" s="16" t="inlineStr">
        <is>
          <t>SINAPI</t>
        </is>
      </c>
      <c r="D10" s="16" t="inlineStr">
        <is>
          <t>ESCAVAÇÃO MECANIZADA PARA BLOCO DE COROAMENTO OU SAPATA, SEM PREVISÃO DE FÔRMA, COM RETROESCAVADEIRA. AF_06/2017</t>
        </is>
      </c>
      <c r="E10" s="17" t="inlineStr">
        <is>
          <t>m³</t>
        </is>
      </c>
      <c r="F10" s="18" t="n">
        <v>2.2</v>
      </c>
      <c r="G10" s="19" t="n">
        <v>90.4</v>
      </c>
      <c r="H10" s="19" t="str">
        <f>TRUNC(G10 * (1 + 26.86 / 100), 2)</f>
      </c>
      <c r="I10" s="19" t="str">
        <f>TRUNC(F10 * h10, 2)</f>
      </c>
      <c r="J10" s="20" t="str">
        <f>i10 / 237176.09</f>
      </c>
    </row>
    <row customHeight="1" ht="36" r="11">
      <c r="A11" s="16" t="inlineStr">
        <is>
          <t> 2.1.2 </t>
        </is>
      </c>
      <c r="B11" s="18" t="inlineStr">
        <is>
          <t> 94097 </t>
        </is>
      </c>
      <c r="C11" s="16" t="inlineStr">
        <is>
          <t>SINAPI</t>
        </is>
      </c>
      <c r="D11" s="16" t="inlineStr">
        <is>
          <t>PREPARO DE FUNDO DE VALA COM LARGURA MENOR QUE 1,5 M, EM LOCAL COM NÍVEL BAIXO DE INTERFERÊNCIA. AF_06/2016</t>
        </is>
      </c>
      <c r="E11" s="17" t="inlineStr">
        <is>
          <t>m²</t>
        </is>
      </c>
      <c r="F11" s="18" t="n">
        <v>5.04</v>
      </c>
      <c r="G11" s="19" t="n">
        <v>5.22</v>
      </c>
      <c r="H11" s="19" t="str">
        <f>TRUNC(G11 * (1 + 26.86 / 100), 2)</f>
      </c>
      <c r="I11" s="19" t="str">
        <f>TRUNC(F11 * h11, 2)</f>
      </c>
      <c r="J11" s="20" t="str">
        <f>i11 / 237176.09</f>
      </c>
    </row>
    <row customHeight="1" ht="24" r="12">
      <c r="A12" s="8" t="inlineStr">
        <is>
          <t> 2.2 </t>
        </is>
      </c>
      <c r="B12" s="8"/>
      <c r="C12" s="8"/>
      <c r="D12" s="8" t="inlineStr">
        <is>
          <t>VIGA BALDRAME</t>
        </is>
      </c>
      <c r="E12" s="8"/>
      <c r="F12" s="10"/>
      <c r="G12" s="8"/>
      <c r="H12" s="8"/>
      <c r="I12" s="11" t="n">
        <v>345.71</v>
      </c>
      <c r="J12" s="12" t="str">
        <f>i12 / 237176.09</f>
      </c>
    </row>
    <row customHeight="1" ht="24" r="13">
      <c r="A13" s="16" t="inlineStr">
        <is>
          <t> 2.2.1 </t>
        </is>
      </c>
      <c r="B13" s="18" t="inlineStr">
        <is>
          <t> 96524 </t>
        </is>
      </c>
      <c r="C13" s="16" t="inlineStr">
        <is>
          <t>SINAPI</t>
        </is>
      </c>
      <c r="D13" s="16" t="inlineStr">
        <is>
          <t>ESCAVAÇÃO MECANIZADA PARA VIGA BALDRAME, SEM PREVISÃO DE FÔRMA, COM MINI-ESCAVADEIRA. AF_06/2017</t>
        </is>
      </c>
      <c r="E13" s="17" t="inlineStr">
        <is>
          <t>m³</t>
        </is>
      </c>
      <c r="F13" s="18" t="n">
        <v>1.5</v>
      </c>
      <c r="G13" s="19" t="n">
        <v>155.35</v>
      </c>
      <c r="H13" s="19" t="str">
        <f>TRUNC(G13 * (1 + 26.86 / 100), 2)</f>
      </c>
      <c r="I13" s="19" t="str">
        <f>TRUNC(F13 * h13, 2)</f>
      </c>
      <c r="J13" s="20" t="str">
        <f>i13 / 237176.09</f>
      </c>
    </row>
    <row customHeight="1" ht="36" r="14">
      <c r="A14" s="16" t="inlineStr">
        <is>
          <t> 2.2.2 </t>
        </is>
      </c>
      <c r="B14" s="18" t="inlineStr">
        <is>
          <t> 94097 </t>
        </is>
      </c>
      <c r="C14" s="16" t="inlineStr">
        <is>
          <t>SINAPI</t>
        </is>
      </c>
      <c r="D14" s="16" t="inlineStr">
        <is>
          <t>PREPARO DE FUNDO DE VALA COM LARGURA MENOR QUE 1,5 M, EM LOCAL COM NÍVEL BAIXO DE INTERFERÊNCIA. AF_06/2016</t>
        </is>
      </c>
      <c r="E14" s="17" t="inlineStr">
        <is>
          <t>m²</t>
        </is>
      </c>
      <c r="F14" s="18" t="n">
        <v>7.57</v>
      </c>
      <c r="G14" s="19" t="n">
        <v>5.22</v>
      </c>
      <c r="H14" s="19" t="str">
        <f>TRUNC(G14 * (1 + 26.86 / 100), 2)</f>
      </c>
      <c r="I14" s="19" t="str">
        <f>TRUNC(F14 * h14, 2)</f>
      </c>
      <c r="J14" s="20" t="str">
        <f>i14 / 237176.09</f>
      </c>
    </row>
    <row customHeight="1" ht="24" r="15">
      <c r="A15" s="8" t="inlineStr">
        <is>
          <t> 3 </t>
        </is>
      </c>
      <c r="B15" s="8"/>
      <c r="C15" s="8"/>
      <c r="D15" s="8" t="inlineStr">
        <is>
          <t>ESTRUTURA</t>
        </is>
      </c>
      <c r="E15" s="8"/>
      <c r="F15" s="10"/>
      <c r="G15" s="8"/>
      <c r="H15" s="8"/>
      <c r="I15" s="11" t="n">
        <v>53509.62</v>
      </c>
      <c r="J15" s="12" t="str">
        <f>i15 / 237176.09</f>
      </c>
    </row>
    <row customHeight="1" ht="24" r="16">
      <c r="A16" s="8" t="inlineStr">
        <is>
          <t> 3.1 </t>
        </is>
      </c>
      <c r="B16" s="8"/>
      <c r="C16" s="8"/>
      <c r="D16" s="8" t="inlineStr">
        <is>
          <t>SAPATA</t>
        </is>
      </c>
      <c r="E16" s="8"/>
      <c r="F16" s="10"/>
      <c r="G16" s="8"/>
      <c r="H16" s="8"/>
      <c r="I16" s="11" t="n">
        <v>8851.47</v>
      </c>
      <c r="J16" s="12" t="str">
        <f>i16 / 237176.09</f>
      </c>
    </row>
    <row customHeight="1" ht="36" r="17">
      <c r="A17" s="16" t="inlineStr">
        <is>
          <t> 3.1.1 </t>
        </is>
      </c>
      <c r="B17" s="18" t="inlineStr">
        <is>
          <t> 96535 </t>
        </is>
      </c>
      <c r="C17" s="16" t="inlineStr">
        <is>
          <t>SINAPI</t>
        </is>
      </c>
      <c r="D17" s="16" t="inlineStr">
        <is>
          <t>FABRICAÇÃO, MONTAGEM E DESMONTAGEM DE FÔRMA PARA SAPATA, EM MADEIRA SERRADA, E=25 MM, 4 UTILIZAÇÕES. AF_06/2017</t>
        </is>
      </c>
      <c r="E17" s="17" t="inlineStr">
        <is>
          <t>m²</t>
        </is>
      </c>
      <c r="F17" s="18" t="n">
        <v>24.67</v>
      </c>
      <c r="G17" s="19" t="n">
        <v>132.04</v>
      </c>
      <c r="H17" s="19" t="str">
        <f>TRUNC(G17 * (1 + 26.86 / 100), 2)</f>
      </c>
      <c r="I17" s="19" t="str">
        <f>TRUNC(F17 * h17, 2)</f>
      </c>
      <c r="J17" s="20" t="str">
        <f>i17 / 237176.09</f>
      </c>
    </row>
    <row customHeight="1" ht="36" r="18">
      <c r="A18" s="16" t="inlineStr">
        <is>
          <t> 3.1.2 </t>
        </is>
      </c>
      <c r="B18" s="18" t="inlineStr">
        <is>
          <t> 94971 </t>
        </is>
      </c>
      <c r="C18" s="16" t="inlineStr">
        <is>
          <t>SINAPI</t>
        </is>
      </c>
      <c r="D18" s="16" t="inlineStr">
        <is>
          <t>CONCRETO FCK = 25MPA, TRAÇO 1:2,3:2,7 (CIMENTO/ AREIA MÉDIA/ BRITA 1)  - PREPARO MECÂNICO COM BETONEIRA 600 L. AF_07/2016</t>
        </is>
      </c>
      <c r="E18" s="17" t="inlineStr">
        <is>
          <t>m³</t>
        </is>
      </c>
      <c r="F18" s="18" t="n">
        <v>2.2</v>
      </c>
      <c r="G18" s="19" t="n">
        <v>500.76</v>
      </c>
      <c r="H18" s="19" t="str">
        <f>TRUNC(G18 * (1 + 26.86 / 100), 2)</f>
      </c>
      <c r="I18" s="19" t="str">
        <f>TRUNC(F18 * h18, 2)</f>
      </c>
      <c r="J18" s="20" t="str">
        <f>i18 / 237176.09</f>
      </c>
    </row>
    <row customHeight="1" ht="24" r="19">
      <c r="A19" s="16" t="inlineStr">
        <is>
          <t> 3.1.3 </t>
        </is>
      </c>
      <c r="B19" s="18" t="inlineStr">
        <is>
          <t> 96544 </t>
        </is>
      </c>
      <c r="C19" s="16" t="inlineStr">
        <is>
          <t>SINAPI</t>
        </is>
      </c>
      <c r="D19" s="16" t="inlineStr">
        <is>
          <t>ARMAÇÃO DE BLOCO, VIGA BALDRAME OU SAPATA UTILIZANDO AÇO CA-50 DE 6,3 MM - MONTAGEM. AF_06/2017</t>
        </is>
      </c>
      <c r="E19" s="17" t="inlineStr">
        <is>
          <t>KG</t>
        </is>
      </c>
      <c r="F19" s="18" t="n">
        <v>52.0</v>
      </c>
      <c r="G19" s="19" t="n">
        <v>20.08</v>
      </c>
      <c r="H19" s="19" t="str">
        <f>TRUNC(G19 * (1 + 26.86 / 100), 2)</f>
      </c>
      <c r="I19" s="19" t="str">
        <f>TRUNC(F19 * h19, 2)</f>
      </c>
      <c r="J19" s="20" t="str">
        <f>i19 / 237176.09</f>
      </c>
    </row>
    <row customHeight="1" ht="24" r="20">
      <c r="A20" s="16" t="inlineStr">
        <is>
          <t> 3.1.4 </t>
        </is>
      </c>
      <c r="B20" s="18" t="inlineStr">
        <is>
          <t> 96545 </t>
        </is>
      </c>
      <c r="C20" s="16" t="inlineStr">
        <is>
          <t>SINAPI</t>
        </is>
      </c>
      <c r="D20" s="16" t="inlineStr">
        <is>
          <t>ARMAÇÃO DE BLOCO, VIGA BALDRAME OU SAPATA UTILIZANDO AÇO CA-50 DE 8 MM - MONTAGEM. AF_06/2017</t>
        </is>
      </c>
      <c r="E20" s="17" t="inlineStr">
        <is>
          <t>KG</t>
        </is>
      </c>
      <c r="F20" s="18" t="n">
        <v>48.25</v>
      </c>
      <c r="G20" s="19" t="n">
        <v>19.09</v>
      </c>
      <c r="H20" s="19" t="str">
        <f>TRUNC(G20 * (1 + 26.86 / 100), 2)</f>
      </c>
      <c r="I20" s="19" t="str">
        <f>TRUNC(F20 * h20, 2)</f>
      </c>
      <c r="J20" s="20" t="str">
        <f>i20 / 237176.09</f>
      </c>
    </row>
    <row customHeight="1" ht="24" r="21">
      <c r="A21" s="16" t="inlineStr">
        <is>
          <t> 3.1.5 </t>
        </is>
      </c>
      <c r="B21" s="18" t="inlineStr">
        <is>
          <t> 96546 </t>
        </is>
      </c>
      <c r="C21" s="16" t="inlineStr">
        <is>
          <t>SINAPI</t>
        </is>
      </c>
      <c r="D21" s="16" t="inlineStr">
        <is>
          <t>ARMAÇÃO DE BLOCO, VIGA BALDRAME OU SAPATA UTILIZANDO AÇO CA-50 DE 10 MM - MONTAGEM. AF_06/2017</t>
        </is>
      </c>
      <c r="E21" s="17" t="inlineStr">
        <is>
          <t>KG</t>
        </is>
      </c>
      <c r="F21" s="18" t="n">
        <v>3.1</v>
      </c>
      <c r="G21" s="19" t="n">
        <v>17.22</v>
      </c>
      <c r="H21" s="19" t="str">
        <f>TRUNC(G21 * (1 + 26.86 / 100), 2)</f>
      </c>
      <c r="I21" s="19" t="str">
        <f>TRUNC(F21 * h21, 2)</f>
      </c>
      <c r="J21" s="20" t="str">
        <f>i21 / 237176.09</f>
      </c>
    </row>
    <row customHeight="1" ht="24" r="22">
      <c r="A22" s="16" t="inlineStr">
        <is>
          <t> 3.1.6 </t>
        </is>
      </c>
      <c r="B22" s="18" t="inlineStr">
        <is>
          <t> 96543 </t>
        </is>
      </c>
      <c r="C22" s="16" t="inlineStr">
        <is>
          <t>SINAPI</t>
        </is>
      </c>
      <c r="D22" s="16" t="inlineStr">
        <is>
          <t>ARMAÇÃO DE BLOCO, VIGA BALDRAME E SAPATA UTILIZANDO AÇO CA-60 DE 5 MM - MONTAGEM. AF_06/2017</t>
        </is>
      </c>
      <c r="E22" s="17" t="inlineStr">
        <is>
          <t>KG</t>
        </is>
      </c>
      <c r="F22" s="18" t="n">
        <v>28.7</v>
      </c>
      <c r="G22" s="19" t="n">
        <v>20.92</v>
      </c>
      <c r="H22" s="19" t="str">
        <f>TRUNC(G22 * (1 + 26.86 / 100), 2)</f>
      </c>
      <c r="I22" s="19" t="str">
        <f>TRUNC(F22 * h22, 2)</f>
      </c>
      <c r="J22" s="20" t="str">
        <f>i22 / 237176.09</f>
      </c>
    </row>
    <row customHeight="1" ht="24" r="23">
      <c r="A23" s="8" t="inlineStr">
        <is>
          <t> 3.2 </t>
        </is>
      </c>
      <c r="B23" s="8"/>
      <c r="C23" s="8"/>
      <c r="D23" s="8" t="inlineStr">
        <is>
          <t>VIGA BALDRAME</t>
        </is>
      </c>
      <c r="E23" s="8"/>
      <c r="F23" s="10"/>
      <c r="G23" s="8"/>
      <c r="H23" s="8"/>
      <c r="I23" s="11" t="n">
        <v>11235.51</v>
      </c>
      <c r="J23" s="12" t="str">
        <f>i23 / 237176.09</f>
      </c>
    </row>
    <row customHeight="1" ht="36" r="24">
      <c r="A24" s="16" t="inlineStr">
        <is>
          <t> 3.2.1 </t>
        </is>
      </c>
      <c r="B24" s="18" t="inlineStr">
        <is>
          <t> 94971 </t>
        </is>
      </c>
      <c r="C24" s="16" t="inlineStr">
        <is>
          <t>SINAPI</t>
        </is>
      </c>
      <c r="D24" s="16" t="inlineStr">
        <is>
          <t>CONCRETO FCK = 25MPA, TRAÇO 1:2,3:2,7 (CIMENTO/ AREIA MÉDIA/ BRITA 1)  - PREPARO MECÂNICO COM BETONEIRA 600 L. AF_07/2016</t>
        </is>
      </c>
      <c r="E24" s="17" t="inlineStr">
        <is>
          <t>m³</t>
        </is>
      </c>
      <c r="F24" s="18" t="n">
        <v>1.5</v>
      </c>
      <c r="G24" s="19" t="n">
        <v>500.76</v>
      </c>
      <c r="H24" s="19" t="str">
        <f>TRUNC(G24 * (1 + 26.86 / 100), 2)</f>
      </c>
      <c r="I24" s="19" t="str">
        <f>TRUNC(F24 * h24, 2)</f>
      </c>
      <c r="J24" s="20" t="str">
        <f>i24 / 237176.09</f>
      </c>
    </row>
    <row customHeight="1" ht="24" r="25">
      <c r="A25" s="16" t="inlineStr">
        <is>
          <t> 3.2.2 </t>
        </is>
      </c>
      <c r="B25" s="18" t="inlineStr">
        <is>
          <t> 96544 </t>
        </is>
      </c>
      <c r="C25" s="16" t="inlineStr">
        <is>
          <t>SINAPI</t>
        </is>
      </c>
      <c r="D25" s="16" t="inlineStr">
        <is>
          <t>ARMAÇÃO DE BLOCO, VIGA BALDRAME OU SAPATA UTILIZANDO AÇO CA-50 DE 6,3 MM - MONTAGEM. AF_06/2017</t>
        </is>
      </c>
      <c r="E25" s="17" t="inlineStr">
        <is>
          <t>KG</t>
        </is>
      </c>
      <c r="F25" s="18" t="n">
        <v>9.8</v>
      </c>
      <c r="G25" s="19" t="n">
        <v>20.08</v>
      </c>
      <c r="H25" s="19" t="str">
        <f>TRUNC(G25 * (1 + 26.86 / 100), 2)</f>
      </c>
      <c r="I25" s="19" t="str">
        <f>TRUNC(F25 * h25, 2)</f>
      </c>
      <c r="J25" s="20" t="str">
        <f>i25 / 237176.09</f>
      </c>
    </row>
    <row customHeight="1" ht="24" r="26">
      <c r="A26" s="16" t="inlineStr">
        <is>
          <t> 3.2.3 </t>
        </is>
      </c>
      <c r="B26" s="18" t="inlineStr">
        <is>
          <t> 96545 </t>
        </is>
      </c>
      <c r="C26" s="16" t="inlineStr">
        <is>
          <t>SINAPI</t>
        </is>
      </c>
      <c r="D26" s="16" t="inlineStr">
        <is>
          <t>ARMAÇÃO DE BLOCO, VIGA BALDRAME OU SAPATA UTILIZANDO AÇO CA-50 DE 8 MM - MONTAGEM. AF_06/2017</t>
        </is>
      </c>
      <c r="E26" s="17" t="inlineStr">
        <is>
          <t>KG</t>
        </is>
      </c>
      <c r="F26" s="18" t="n">
        <v>106.5</v>
      </c>
      <c r="G26" s="19" t="n">
        <v>19.09</v>
      </c>
      <c r="H26" s="19" t="str">
        <f>TRUNC(G26 * (1 + 26.86 / 100), 2)</f>
      </c>
      <c r="I26" s="19" t="str">
        <f>TRUNC(F26 * h26, 2)</f>
      </c>
      <c r="J26" s="20" t="str">
        <f>i26 / 237176.09</f>
      </c>
    </row>
    <row customHeight="1" ht="24" r="27">
      <c r="A27" s="16" t="inlineStr">
        <is>
          <t> 3.2.4 </t>
        </is>
      </c>
      <c r="B27" s="18" t="inlineStr">
        <is>
          <t> 96546 </t>
        </is>
      </c>
      <c r="C27" s="16" t="inlineStr">
        <is>
          <t>SINAPI</t>
        </is>
      </c>
      <c r="D27" s="16" t="inlineStr">
        <is>
          <t>ARMAÇÃO DE BLOCO, VIGA BALDRAME OU SAPATA UTILIZANDO AÇO CA-50 DE 10 MM - MONTAGEM. AF_06/2017</t>
        </is>
      </c>
      <c r="E27" s="17" t="inlineStr">
        <is>
          <t>KG</t>
        </is>
      </c>
      <c r="F27" s="18" t="n">
        <v>16.2</v>
      </c>
      <c r="G27" s="19" t="n">
        <v>17.22</v>
      </c>
      <c r="H27" s="19" t="str">
        <f>TRUNC(G27 * (1 + 26.86 / 100), 2)</f>
      </c>
      <c r="I27" s="19" t="str">
        <f>TRUNC(F27 * h27, 2)</f>
      </c>
      <c r="J27" s="20" t="str">
        <f>i27 / 237176.09</f>
      </c>
    </row>
    <row customHeight="1" ht="24" r="28">
      <c r="A28" s="16" t="inlineStr">
        <is>
          <t> 3.2.5 </t>
        </is>
      </c>
      <c r="B28" s="18" t="inlineStr">
        <is>
          <t> 96543 </t>
        </is>
      </c>
      <c r="C28" s="16" t="inlineStr">
        <is>
          <t>SINAPI</t>
        </is>
      </c>
      <c r="D28" s="16" t="inlineStr">
        <is>
          <t>ARMAÇÃO DE BLOCO, VIGA BALDRAME E SAPATA UTILIZANDO AÇO CA-60 DE 5 MM - MONTAGEM. AF_06/2017</t>
        </is>
      </c>
      <c r="E28" s="17" t="inlineStr">
        <is>
          <t>KG</t>
        </is>
      </c>
      <c r="F28" s="18" t="n">
        <v>68.1</v>
      </c>
      <c r="G28" s="19" t="n">
        <v>20.92</v>
      </c>
      <c r="H28" s="19" t="str">
        <f>TRUNC(G28 * (1 + 26.86 / 100), 2)</f>
      </c>
      <c r="I28" s="19" t="str">
        <f>TRUNC(F28 * h28, 2)</f>
      </c>
      <c r="J28" s="20" t="str">
        <f>i28 / 237176.09</f>
      </c>
    </row>
    <row customHeight="1" ht="36" r="29">
      <c r="A29" s="16" t="inlineStr">
        <is>
          <t> 3.2.6 </t>
        </is>
      </c>
      <c r="B29" s="18" t="inlineStr">
        <is>
          <t> 96542 </t>
        </is>
      </c>
      <c r="C29" s="16" t="inlineStr">
        <is>
          <t>SINAPI</t>
        </is>
      </c>
      <c r="D29" s="16" t="inlineStr">
        <is>
          <t>FABRICAÇÃO, MONTAGEM E DESMONTAGEM DE FÔRMA PARA VIGA BALDRAME, EM CHAPA DE MADEIRA COMPENSADA RESINADA, E=17 MM, 4 UTILIZAÇÕES. AF_06/2017</t>
        </is>
      </c>
      <c r="E29" s="17" t="inlineStr">
        <is>
          <t>m²</t>
        </is>
      </c>
      <c r="F29" s="18" t="n">
        <v>33.11</v>
      </c>
      <c r="G29" s="19" t="n">
        <v>89.5</v>
      </c>
      <c r="H29" s="19" t="str">
        <f>TRUNC(G29 * (1 + 26.86 / 100), 2)</f>
      </c>
      <c r="I29" s="19" t="str">
        <f>TRUNC(F29 * h29, 2)</f>
      </c>
      <c r="J29" s="20" t="str">
        <f>i29 / 237176.09</f>
      </c>
    </row>
    <row customHeight="1" ht="24" r="30">
      <c r="A30" s="16" t="inlineStr">
        <is>
          <t> 3.2.7 </t>
        </is>
      </c>
      <c r="B30" s="18" t="inlineStr">
        <is>
          <t> 98557 </t>
        </is>
      </c>
      <c r="C30" s="16" t="inlineStr">
        <is>
          <t>SINAPI</t>
        </is>
      </c>
      <c r="D30" s="16" t="inlineStr">
        <is>
          <t>IMPERMEABILIZAÇÃO DE SUPERFÍCIE COM EMULSÃO ASFÁLTICA, 2 DEMÃOS AF_06/2018</t>
        </is>
      </c>
      <c r="E30" s="17" t="inlineStr">
        <is>
          <t>m²</t>
        </is>
      </c>
      <c r="F30" s="18" t="n">
        <v>20.0</v>
      </c>
      <c r="G30" s="19" t="n">
        <v>60.51</v>
      </c>
      <c r="H30" s="19" t="str">
        <f>TRUNC(G30 * (1 + 26.86 / 100), 2)</f>
      </c>
      <c r="I30" s="19" t="str">
        <f>TRUNC(F30 * h30, 2)</f>
      </c>
      <c r="J30" s="20" t="str">
        <f>i30 / 237176.09</f>
      </c>
    </row>
    <row customHeight="1" ht="24" r="31">
      <c r="A31" s="8" t="inlineStr">
        <is>
          <t> 3.3 </t>
        </is>
      </c>
      <c r="B31" s="8"/>
      <c r="C31" s="8"/>
      <c r="D31" s="8" t="inlineStr">
        <is>
          <t>VIGAS</t>
        </is>
      </c>
      <c r="E31" s="8"/>
      <c r="F31" s="10"/>
      <c r="G31" s="8"/>
      <c r="H31" s="8"/>
      <c r="I31" s="11" t="n">
        <v>20493.9</v>
      </c>
      <c r="J31" s="12" t="str">
        <f>i31 / 237176.09</f>
      </c>
    </row>
    <row customHeight="1" ht="48" r="32">
      <c r="A32" s="16" t="inlineStr">
        <is>
          <t> 3.3.1 </t>
        </is>
      </c>
      <c r="B32" s="18" t="inlineStr">
        <is>
          <t> 92467 </t>
        </is>
      </c>
      <c r="C32" s="16" t="inlineStr">
        <is>
          <t>SINAPI</t>
        </is>
      </c>
      <c r="D32" s="16" t="inlineStr">
        <is>
          <t>MONTAGEM E DESMONTAGEM DE FÔRMA DE VIGA, ESCORAMENTO COM GARFO DE MADEIRA, PÉ-DIREITO SIMPLES, EM CHAPA DE MADEIRA PLASTIFICADA, 10 UTILIZAÇÕES. AF_09/2020</t>
        </is>
      </c>
      <c r="E32" s="17" t="inlineStr">
        <is>
          <t>m²</t>
        </is>
      </c>
      <c r="F32" s="18" t="n">
        <v>66.22</v>
      </c>
      <c r="G32" s="19" t="n">
        <v>103.39</v>
      </c>
      <c r="H32" s="19" t="str">
        <f>TRUNC(G32 * (1 + 26.86 / 100), 2)</f>
      </c>
      <c r="I32" s="19" t="str">
        <f>TRUNC(F32 * h32, 2)</f>
      </c>
      <c r="J32" s="20" t="str">
        <f>i32 / 237176.09</f>
      </c>
    </row>
    <row customHeight="1" ht="36" r="33">
      <c r="A33" s="16" t="inlineStr">
        <is>
          <t> 3.3.2 </t>
        </is>
      </c>
      <c r="B33" s="18" t="inlineStr">
        <is>
          <t> 94971 </t>
        </is>
      </c>
      <c r="C33" s="16" t="inlineStr">
        <is>
          <t>SINAPI</t>
        </is>
      </c>
      <c r="D33" s="16" t="inlineStr">
        <is>
          <t>CONCRETO FCK = 25MPA, TRAÇO 1:2,3:2,7 (CIMENTO/ AREIA MÉDIA/ BRITA 1)  - PREPARO MECÂNICO COM BETONEIRA 600 L. AF_07/2016</t>
        </is>
      </c>
      <c r="E33" s="17" t="inlineStr">
        <is>
          <t>m³</t>
        </is>
      </c>
      <c r="F33" s="18" t="n">
        <v>3.0</v>
      </c>
      <c r="G33" s="19" t="n">
        <v>500.76</v>
      </c>
      <c r="H33" s="19" t="str">
        <f>TRUNC(G33 * (1 + 26.86 / 100), 2)</f>
      </c>
      <c r="I33" s="19" t="str">
        <f>TRUNC(F33 * h33, 2)</f>
      </c>
      <c r="J33" s="20" t="str">
        <f>i33 / 237176.09</f>
      </c>
    </row>
    <row customHeight="1" ht="24" r="34">
      <c r="A34" s="16" t="inlineStr">
        <is>
          <t> 3.3.3 </t>
        </is>
      </c>
      <c r="B34" s="18" t="inlineStr">
        <is>
          <t> 92873 </t>
        </is>
      </c>
      <c r="C34" s="16" t="inlineStr">
        <is>
          <t>SINAPI</t>
        </is>
      </c>
      <c r="D34" s="16" t="inlineStr">
        <is>
          <t>LANÇAMENTO COM USO DE BALDES, ADENSAMENTO E ACABAMENTO DE CONCRETO EM ESTRUTURAS. AF_12/2015</t>
        </is>
      </c>
      <c r="E34" s="17" t="inlineStr">
        <is>
          <t>m³</t>
        </is>
      </c>
      <c r="F34" s="18" t="n">
        <v>3.0</v>
      </c>
      <c r="G34" s="19" t="n">
        <v>182.54</v>
      </c>
      <c r="H34" s="19" t="str">
        <f>TRUNC(G34 * (1 + 26.86 / 100), 2)</f>
      </c>
      <c r="I34" s="19" t="str">
        <f>TRUNC(F34 * h34, 2)</f>
      </c>
      <c r="J34" s="20" t="str">
        <f>i34 / 237176.09</f>
      </c>
    </row>
    <row customHeight="1" ht="48" r="35">
      <c r="A35" s="16" t="inlineStr">
        <is>
          <t> 3.3.4 </t>
        </is>
      </c>
      <c r="B35" s="18" t="inlineStr">
        <is>
          <t> 92776 </t>
        </is>
      </c>
      <c r="C35" s="16" t="inlineStr">
        <is>
          <t>SINAPI</t>
        </is>
      </c>
      <c r="D35" s="16" t="inlineStr">
        <is>
          <t>ARMAÇÃO DE PILAR OU VIGA DE UMA ESTRUTURA CONVENCIONAL DE CONCRETO ARMADO EM UMA EDIFICAÇÃO TÉRREA OU SOBRADO UTILIZANDO AÇO CA-50 DE 6,3 MM - MONTAGEM. AF_12/2015</t>
        </is>
      </c>
      <c r="E35" s="17" t="inlineStr">
        <is>
          <t>KG</t>
        </is>
      </c>
      <c r="F35" s="18" t="n">
        <v>68.7</v>
      </c>
      <c r="G35" s="19" t="n">
        <v>20.1</v>
      </c>
      <c r="H35" s="19" t="str">
        <f>TRUNC(G35 * (1 + 26.86 / 100), 2)</f>
      </c>
      <c r="I35" s="19" t="str">
        <f>TRUNC(F35 * h35, 2)</f>
      </c>
      <c r="J35" s="20" t="str">
        <f>i35 / 237176.09</f>
      </c>
    </row>
    <row customHeight="1" ht="48" r="36">
      <c r="A36" s="16" t="inlineStr">
        <is>
          <t> 3.3.5 </t>
        </is>
      </c>
      <c r="B36" s="18" t="inlineStr">
        <is>
          <t> 92777 </t>
        </is>
      </c>
      <c r="C36" s="16" t="inlineStr">
        <is>
          <t>SINAPI</t>
        </is>
      </c>
      <c r="D36" s="16" t="inlineStr">
        <is>
          <t>ARMAÇÃO DE PILAR OU VIGA DE UMA ESTRUTURA CONVENCIONAL DE CONCRETO ARMADO EM UMA EDIFICAÇÃO TÉRREA OU SOBRADO UTILIZANDO AÇO CA-50 DE 8,0 MM - MONTAGEM. AF_12/2015</t>
        </is>
      </c>
      <c r="E36" s="17" t="inlineStr">
        <is>
          <t>KG</t>
        </is>
      </c>
      <c r="F36" s="18" t="n">
        <v>110.1</v>
      </c>
      <c r="G36" s="19" t="n">
        <v>19.08</v>
      </c>
      <c r="H36" s="19" t="str">
        <f>TRUNC(G36 * (1 + 26.86 / 100), 2)</f>
      </c>
      <c r="I36" s="19" t="str">
        <f>TRUNC(F36 * h36, 2)</f>
      </c>
      <c r="J36" s="20" t="str">
        <f>i36 / 237176.09</f>
      </c>
    </row>
    <row customHeight="1" ht="48" r="37">
      <c r="A37" s="16" t="inlineStr">
        <is>
          <t> 3.3.6 </t>
        </is>
      </c>
      <c r="B37" s="18" t="inlineStr">
        <is>
          <t> 92778 </t>
        </is>
      </c>
      <c r="C37" s="16" t="inlineStr">
        <is>
          <t>SINAPI</t>
        </is>
      </c>
      <c r="D37" s="16" t="inlineStr">
        <is>
          <t>ARMAÇÃO DE PILAR OU VIGA DE UMA ESTRUTURA CONVENCIONAL DE CONCRETO ARMADO EM UMA EDIFICAÇÃO TÉRREA OU SOBRADO UTILIZANDO AÇO CA-50 DE 10,0 MM - MONTAGEM. AF_12/2015</t>
        </is>
      </c>
      <c r="E37" s="17" t="inlineStr">
        <is>
          <t>KG</t>
        </is>
      </c>
      <c r="F37" s="18" t="n">
        <v>37.2</v>
      </c>
      <c r="G37" s="19" t="n">
        <v>17.13</v>
      </c>
      <c r="H37" s="19" t="str">
        <f>TRUNC(G37 * (1 + 26.86 / 100), 2)</f>
      </c>
      <c r="I37" s="19" t="str">
        <f>TRUNC(F37 * h37, 2)</f>
      </c>
      <c r="J37" s="20" t="str">
        <f>i37 / 237176.09</f>
      </c>
    </row>
    <row customHeight="1" ht="48" r="38">
      <c r="A38" s="16" t="inlineStr">
        <is>
          <t> 3.3.7 </t>
        </is>
      </c>
      <c r="B38" s="18" t="inlineStr">
        <is>
          <t> 92779 </t>
        </is>
      </c>
      <c r="C38" s="16" t="inlineStr">
        <is>
          <t>SINAPI</t>
        </is>
      </c>
      <c r="D38" s="16" t="inlineStr">
        <is>
          <t>ARMAÇÃO DE PILAR OU VIGA DE UMA ESTRUTURA CONVENCIONAL DE CONCRETO ARMADO EM UMA EDIFICAÇÃO TÉRREA OU SOBRADO UTILIZANDO AÇO CA-50 DE 12,5 MM - MONTAGEM. AF_12/2015</t>
        </is>
      </c>
      <c r="E38" s="17" t="inlineStr">
        <is>
          <t>KG</t>
        </is>
      </c>
      <c r="F38" s="18" t="n">
        <v>19.1</v>
      </c>
      <c r="G38" s="19" t="n">
        <v>14.48</v>
      </c>
      <c r="H38" s="19" t="str">
        <f>TRUNC(G38 * (1 + 26.86 / 100), 2)</f>
      </c>
      <c r="I38" s="19" t="str">
        <f>TRUNC(F38 * h38, 2)</f>
      </c>
      <c r="J38" s="20" t="str">
        <f>i38 / 237176.09</f>
      </c>
    </row>
    <row customHeight="1" ht="48" r="39">
      <c r="A39" s="16" t="inlineStr">
        <is>
          <t> 3.3.8 </t>
        </is>
      </c>
      <c r="B39" s="18" t="inlineStr">
        <is>
          <t> 92775 </t>
        </is>
      </c>
      <c r="C39" s="16" t="inlineStr">
        <is>
          <t>SINAPI</t>
        </is>
      </c>
      <c r="D39" s="16" t="inlineStr">
        <is>
          <t>ARMAÇÃO DE PILAR OU VIGA DE UMA ESTRUTURA CONVENCIONAL DE CONCRETO ARMADO EM UMA EDIFICAÇÃO TÉRREA OU SOBRADO UTILIZANDO AÇO CA-60 DE 5,0 MM - MONTAGEM. AF_12/2015</t>
        </is>
      </c>
      <c r="E39" s="17" t="inlineStr">
        <is>
          <t>KG</t>
        </is>
      </c>
      <c r="F39" s="18" t="n">
        <v>136.8</v>
      </c>
      <c r="G39" s="19" t="n">
        <v>20.94</v>
      </c>
      <c r="H39" s="19" t="str">
        <f>TRUNC(G39 * (1 + 26.86 / 100), 2)</f>
      </c>
      <c r="I39" s="19" t="str">
        <f>TRUNC(F39 * h39, 2)</f>
      </c>
      <c r="J39" s="20" t="str">
        <f>i39 / 237176.09</f>
      </c>
    </row>
    <row customHeight="1" ht="24" r="40">
      <c r="A40" s="8" t="inlineStr">
        <is>
          <t> 3.4 </t>
        </is>
      </c>
      <c r="B40" s="8"/>
      <c r="C40" s="8"/>
      <c r="D40" s="8" t="inlineStr">
        <is>
          <t>PILARES</t>
        </is>
      </c>
      <c r="E40" s="8"/>
      <c r="F40" s="10"/>
      <c r="G40" s="8"/>
      <c r="H40" s="8"/>
      <c r="I40" s="11" t="n">
        <v>12928.74</v>
      </c>
      <c r="J40" s="12" t="str">
        <f>i40 / 237176.09</f>
      </c>
    </row>
    <row customHeight="1" ht="60" r="41">
      <c r="A41" s="16" t="inlineStr">
        <is>
          <t> 3.4.1 </t>
        </is>
      </c>
      <c r="B41" s="18" t="inlineStr">
        <is>
          <t> 92430 </t>
        </is>
      </c>
      <c r="C41" s="16" t="inlineStr">
        <is>
          <t>SINAPI</t>
        </is>
      </c>
      <c r="D41" s="16" t="inlineStr">
        <is>
          <t>MONTAGEM E DESMONTAGEM DE FÔRMA DE PILARES RETANGULARES E ESTRUTURAS SIMILARES COM ÁREA MÉDIA DAS SEÇÕES MENOR OU IGUAL A 0,25 M², PÉ-DIREITO SIMPLES, EM CHAPA DE MADEIRA COMPENSADA PLASTIFICADA, 10 UTILIZAÇÕES. AF_12/2015</t>
        </is>
      </c>
      <c r="E41" s="17" t="inlineStr">
        <is>
          <t>m²</t>
        </is>
      </c>
      <c r="F41" s="18" t="n">
        <v>50.5</v>
      </c>
      <c r="G41" s="19" t="n">
        <v>64.02</v>
      </c>
      <c r="H41" s="19" t="str">
        <f>TRUNC(G41 * (1 + 26.86 / 100), 2)</f>
      </c>
      <c r="I41" s="19" t="str">
        <f>TRUNC(F41 * h41, 2)</f>
      </c>
      <c r="J41" s="20" t="str">
        <f>i41 / 237176.09</f>
      </c>
    </row>
    <row customHeight="1" ht="48" r="42">
      <c r="A42" s="16" t="inlineStr">
        <is>
          <t> 3.4.2 </t>
        </is>
      </c>
      <c r="B42" s="18" t="inlineStr">
        <is>
          <t> 92718 </t>
        </is>
      </c>
      <c r="C42" s="16" t="inlineStr">
        <is>
          <t>SINAPI</t>
        </is>
      </c>
      <c r="D42" s="16" t="inlineStr">
        <is>
          <t>CONCRETAGEM DE PILARES, FCK = 25 MPA,  COM USO DE BALDES EM EDIFICAÇÃO COM SEÇÃO MÉDIA DE PILARES MENOR OU IGUAL A 0,25 M² - LANÇAMENTO, ADENSAMENTO E ACABAMENTO. AF_12/2015</t>
        </is>
      </c>
      <c r="E42" s="17" t="inlineStr">
        <is>
          <t>m³</t>
        </is>
      </c>
      <c r="F42" s="18" t="n">
        <v>2.4</v>
      </c>
      <c r="G42" s="19" t="n">
        <v>834.63</v>
      </c>
      <c r="H42" s="19" t="str">
        <f>TRUNC(G42 * (1 + 26.86 / 100), 2)</f>
      </c>
      <c r="I42" s="19" t="str">
        <f>TRUNC(F42 * h42, 2)</f>
      </c>
      <c r="J42" s="20" t="str">
        <f>i42 / 237176.09</f>
      </c>
    </row>
    <row customHeight="1" ht="48" r="43">
      <c r="A43" s="16" t="inlineStr">
        <is>
          <t> 3.4.3 </t>
        </is>
      </c>
      <c r="B43" s="18" t="inlineStr">
        <is>
          <t> 92775 </t>
        </is>
      </c>
      <c r="C43" s="16" t="inlineStr">
        <is>
          <t>SINAPI</t>
        </is>
      </c>
      <c r="D43" s="16" t="inlineStr">
        <is>
          <t>ARMAÇÃO DE PILAR OU VIGA DE UMA ESTRUTURA CONVENCIONAL DE CONCRETO ARMADO EM UMA EDIFICAÇÃO TÉRREA OU SOBRADO UTILIZANDO AÇO CA-60 DE 5,0 MM - MONTAGEM. AF_12/2015</t>
        </is>
      </c>
      <c r="E43" s="17" t="inlineStr">
        <is>
          <t>KG</t>
        </is>
      </c>
      <c r="F43" s="18" t="n">
        <v>89.3</v>
      </c>
      <c r="G43" s="19" t="n">
        <v>20.94</v>
      </c>
      <c r="H43" s="19" t="str">
        <f>TRUNC(G43 * (1 + 26.86 / 100), 2)</f>
      </c>
      <c r="I43" s="19" t="str">
        <f>TRUNC(F43 * h43, 2)</f>
      </c>
      <c r="J43" s="20" t="str">
        <f>i43 / 237176.09</f>
      </c>
    </row>
    <row customHeight="1" ht="48" r="44">
      <c r="A44" s="16" t="inlineStr">
        <is>
          <t> 3.4.4 </t>
        </is>
      </c>
      <c r="B44" s="18" t="inlineStr">
        <is>
          <t> 92777 </t>
        </is>
      </c>
      <c r="C44" s="16" t="inlineStr">
        <is>
          <t>SINAPI</t>
        </is>
      </c>
      <c r="D44" s="16" t="inlineStr">
        <is>
          <t>ARMAÇÃO DE PILAR OU VIGA DE UMA ESTRUTURA CONVENCIONAL DE CONCRETO ARMADO EM UMA EDIFICAÇÃO TÉRREA OU SOBRADO UTILIZANDO AÇO CA-50 DE 8,0 MM - MONTAGEM. AF_12/2015</t>
        </is>
      </c>
      <c r="E44" s="17" t="inlineStr">
        <is>
          <t>KG</t>
        </is>
      </c>
      <c r="F44" s="18" t="n">
        <v>137.7</v>
      </c>
      <c r="G44" s="19" t="n">
        <v>19.08</v>
      </c>
      <c r="H44" s="19" t="str">
        <f>TRUNC(G44 * (1 + 26.86 / 100), 2)</f>
      </c>
      <c r="I44" s="19" t="str">
        <f>TRUNC(F44 * h44, 2)</f>
      </c>
      <c r="J44" s="20" t="str">
        <f>i44 / 237176.09</f>
      </c>
    </row>
    <row customHeight="1" ht="48" r="45">
      <c r="A45" s="16" t="inlineStr">
        <is>
          <t> 3.4.5 </t>
        </is>
      </c>
      <c r="B45" s="18" t="inlineStr">
        <is>
          <t> 92778 </t>
        </is>
      </c>
      <c r="C45" s="16" t="inlineStr">
        <is>
          <t>SINAPI</t>
        </is>
      </c>
      <c r="D45" s="16" t="inlineStr">
        <is>
          <t>ARMAÇÃO DE PILAR OU VIGA DE UMA ESTRUTURA CONVENCIONAL DE CONCRETO ARMADO EM UMA EDIFICAÇÃO TÉRREA OU SOBRADO UTILIZANDO AÇO CA-50 DE 10,0 MM - MONTAGEM. AF_12/2015</t>
        </is>
      </c>
      <c r="E45" s="17" t="inlineStr">
        <is>
          <t>KG</t>
        </is>
      </c>
      <c r="F45" s="18" t="n">
        <v>26.8</v>
      </c>
      <c r="G45" s="19" t="n">
        <v>17.13</v>
      </c>
      <c r="H45" s="19" t="str">
        <f>TRUNC(G45 * (1 + 26.86 / 100), 2)</f>
      </c>
      <c r="I45" s="19" t="str">
        <f>TRUNC(F45 * h45, 2)</f>
      </c>
      <c r="J45" s="20" t="str">
        <f>i45 / 237176.09</f>
      </c>
    </row>
    <row customHeight="1" ht="24" r="46">
      <c r="A46" s="8" t="inlineStr">
        <is>
          <t> 4 </t>
        </is>
      </c>
      <c r="B46" s="8"/>
      <c r="C46" s="8"/>
      <c r="D46" s="8" t="inlineStr">
        <is>
          <t>ALVENARIA, FECHAMENTO E DIVISÓRIAS</t>
        </is>
      </c>
      <c r="E46" s="8"/>
      <c r="F46" s="10"/>
      <c r="G46" s="8"/>
      <c r="H46" s="8"/>
      <c r="I46" s="11" t="n">
        <v>60812.43</v>
      </c>
      <c r="J46" s="12" t="str">
        <f>i46 / 237176.09</f>
      </c>
    </row>
    <row customHeight="1" ht="60" r="47">
      <c r="A47" s="16" t="inlineStr">
        <is>
          <t> 4.1 </t>
        </is>
      </c>
      <c r="B47" s="18" t="inlineStr">
        <is>
          <t> 89168 </t>
        </is>
      </c>
      <c r="C47" s="16" t="inlineStr">
        <is>
          <t>SINAPI</t>
        </is>
      </c>
      <c r="D47" s="16" t="inlineStr">
        <is>
          <t>(COMPOSIÇÃO REPRESENTATIVA) DO SERVIÇO DE ALVENARIA DE VEDAÇÃO DE BLOCOS VAZADOS DE CERÂMICA DE 9X19X19CM (ESPESSURA 9CM), PARA EDIFICAÇÃO HABITACIONAL UNIFAMILIAR (CASA) E EDIFICAÇÃO PÚBLICA PADRÃO. AF_11/2014</t>
        </is>
      </c>
      <c r="E47" s="17" t="inlineStr">
        <is>
          <t>m²</t>
        </is>
      </c>
      <c r="F47" s="18" t="n">
        <v>320.1</v>
      </c>
      <c r="G47" s="19" t="n">
        <v>84.52</v>
      </c>
      <c r="H47" s="19" t="str">
        <f>TRUNC(G47 * (1 + 26.86 / 100), 2)</f>
      </c>
      <c r="I47" s="19" t="str">
        <f>TRUNC(F47 * h47, 2)</f>
      </c>
      <c r="J47" s="20" t="str">
        <f>i47 / 237176.09</f>
      </c>
    </row>
    <row customHeight="1" ht="24" r="48">
      <c r="A48" s="16" t="inlineStr">
        <is>
          <t> 4.2 </t>
        </is>
      </c>
      <c r="B48" s="18" t="inlineStr">
        <is>
          <t> 93182 </t>
        </is>
      </c>
      <c r="C48" s="16" t="inlineStr">
        <is>
          <t>SINAPI</t>
        </is>
      </c>
      <c r="D48" s="16" t="inlineStr">
        <is>
          <t>VERGA PRÉ-MOLDADA PARA JANELAS COM ATÉ 1,5 M DE VÃO. AF_03/2016</t>
        </is>
      </c>
      <c r="E48" s="17" t="inlineStr">
        <is>
          <t>M</t>
        </is>
      </c>
      <c r="F48" s="18" t="n">
        <v>10.0</v>
      </c>
      <c r="G48" s="19" t="n">
        <v>47.22</v>
      </c>
      <c r="H48" s="19" t="str">
        <f>TRUNC(G48 * (1 + 26.86 / 100), 2)</f>
      </c>
      <c r="I48" s="19" t="str">
        <f>TRUNC(F48 * h48, 2)</f>
      </c>
      <c r="J48" s="20" t="str">
        <f>i48 / 237176.09</f>
      </c>
    </row>
    <row customHeight="1" ht="24" r="49">
      <c r="A49" s="16" t="inlineStr">
        <is>
          <t> 4.3 </t>
        </is>
      </c>
      <c r="B49" s="18" t="inlineStr">
        <is>
          <t> 93183 </t>
        </is>
      </c>
      <c r="C49" s="16" t="inlineStr">
        <is>
          <t>SINAPI</t>
        </is>
      </c>
      <c r="D49" s="16" t="inlineStr">
        <is>
          <t>VERGA PRÉ-MOLDADA PARA JANELAS COM MAIS DE 1,5 M DE VÃO. AF_03/2016</t>
        </is>
      </c>
      <c r="E49" s="17" t="inlineStr">
        <is>
          <t>M</t>
        </is>
      </c>
      <c r="F49" s="18" t="n">
        <v>8.0</v>
      </c>
      <c r="G49" s="19" t="n">
        <v>61.19</v>
      </c>
      <c r="H49" s="19" t="str">
        <f>TRUNC(G49 * (1 + 26.86 / 100), 2)</f>
      </c>
      <c r="I49" s="19" t="str">
        <f>TRUNC(F49 * h49, 2)</f>
      </c>
      <c r="J49" s="20" t="str">
        <f>i49 / 237176.09</f>
      </c>
    </row>
    <row customHeight="1" ht="24" r="50">
      <c r="A50" s="16" t="inlineStr">
        <is>
          <t> 4.4 </t>
        </is>
      </c>
      <c r="B50" s="18" t="inlineStr">
        <is>
          <t> 93195 </t>
        </is>
      </c>
      <c r="C50" s="16" t="inlineStr">
        <is>
          <t>SINAPI</t>
        </is>
      </c>
      <c r="D50" s="16" t="inlineStr">
        <is>
          <t>CONTRAVERGA PRÉ-MOLDADA PARA VÃOS DE MAIS DE 1,5 M DE COMPRIMENTO. AF_03/2016</t>
        </is>
      </c>
      <c r="E50" s="17" t="inlineStr">
        <is>
          <t>M</t>
        </is>
      </c>
      <c r="F50" s="18" t="n">
        <v>8.0</v>
      </c>
      <c r="G50" s="19" t="n">
        <v>55.98</v>
      </c>
      <c r="H50" s="19" t="str">
        <f>TRUNC(G50 * (1 + 26.86 / 100), 2)</f>
      </c>
      <c r="I50" s="19" t="str">
        <f>TRUNC(F50 * h50, 2)</f>
      </c>
      <c r="J50" s="20" t="str">
        <f>i50 / 237176.09</f>
      </c>
    </row>
    <row customHeight="1" ht="24" r="51">
      <c r="A51" s="16" t="inlineStr">
        <is>
          <t> 4.5 </t>
        </is>
      </c>
      <c r="B51" s="18" t="inlineStr">
        <is>
          <t> 93196 </t>
        </is>
      </c>
      <c r="C51" s="16" t="inlineStr">
        <is>
          <t>SINAPI</t>
        </is>
      </c>
      <c r="D51" s="16" t="inlineStr">
        <is>
          <t>CONTRAVERGA MOLDADA IN LOCO EM CONCRETO PARA VÃOS DE ATÉ 1,5 M DE COMPRIMENTO. AF_03/2016</t>
        </is>
      </c>
      <c r="E51" s="17" t="inlineStr">
        <is>
          <t>M</t>
        </is>
      </c>
      <c r="F51" s="18" t="n">
        <v>10.0</v>
      </c>
      <c r="G51" s="19" t="n">
        <v>81.21</v>
      </c>
      <c r="H51" s="19" t="str">
        <f>TRUNC(G51 * (1 + 26.86 / 100), 2)</f>
      </c>
      <c r="I51" s="19" t="str">
        <f>TRUNC(F51 * h51, 2)</f>
      </c>
      <c r="J51" s="20" t="str">
        <f>i51 / 237176.09</f>
      </c>
    </row>
    <row customHeight="1" ht="24" r="52">
      <c r="A52" s="16" t="inlineStr">
        <is>
          <t> 4.6 </t>
        </is>
      </c>
      <c r="B52" s="18" t="inlineStr">
        <is>
          <t> 93184 </t>
        </is>
      </c>
      <c r="C52" s="16" t="inlineStr">
        <is>
          <t>SINAPI</t>
        </is>
      </c>
      <c r="D52" s="16" t="inlineStr">
        <is>
          <t>VERGA PRÉ-MOLDADA PARA PORTAS COM ATÉ 1,5 M DE VÃO. AF_03/2016</t>
        </is>
      </c>
      <c r="E52" s="17" t="inlineStr">
        <is>
          <t>M</t>
        </is>
      </c>
      <c r="F52" s="18" t="n">
        <v>6.0</v>
      </c>
      <c r="G52" s="19" t="n">
        <v>34.63</v>
      </c>
      <c r="H52" s="19" t="str">
        <f>TRUNC(G52 * (1 + 26.86 / 100), 2)</f>
      </c>
      <c r="I52" s="19" t="str">
        <f>TRUNC(F52 * h52, 2)</f>
      </c>
      <c r="J52" s="20" t="str">
        <f>i52 / 237176.09</f>
      </c>
    </row>
    <row customHeight="1" ht="24" r="53">
      <c r="A53" s="16" t="inlineStr">
        <is>
          <t> 4.7 </t>
        </is>
      </c>
      <c r="B53" s="18" t="inlineStr">
        <is>
          <t> 94213 </t>
        </is>
      </c>
      <c r="C53" s="16" t="inlineStr">
        <is>
          <t>SINAPI</t>
        </is>
      </c>
      <c r="D53" s="16" t="inlineStr">
        <is>
          <t>TELHAMENTO COM TELHA DE AÇO/ALUMÍNIO E = 0,5 MM, COM ATÉ 2 ÁGUAS, INCLUSO IÇAMENTO. AF_07/2019</t>
        </is>
      </c>
      <c r="E53" s="17" t="inlineStr">
        <is>
          <t>m²</t>
        </is>
      </c>
      <c r="F53" s="18" t="n">
        <v>129.27</v>
      </c>
      <c r="G53" s="19" t="n">
        <v>84.84</v>
      </c>
      <c r="H53" s="19" t="str">
        <f>TRUNC(G53 * (1 + 26.86 / 100), 2)</f>
      </c>
      <c r="I53" s="19" t="str">
        <f>TRUNC(F53 * h53, 2)</f>
      </c>
      <c r="J53" s="20" t="str">
        <f>i53 / 237176.09</f>
      </c>
    </row>
    <row customHeight="1" ht="48" r="54">
      <c r="A54" s="16" t="inlineStr">
        <is>
          <t> 4.8 </t>
        </is>
      </c>
      <c r="B54" s="18" t="inlineStr">
        <is>
          <t> 92580 </t>
        </is>
      </c>
      <c r="C54" s="16" t="inlineStr">
        <is>
          <t>SINAPI</t>
        </is>
      </c>
      <c r="D54" s="16" t="inlineStr">
        <is>
          <t>TRAMA DE AÇO COMPOSTA POR TERÇAS PARA TELHADOS DE ATÉ 2 ÁGUAS PARA TELHA ONDULADA DE FIBROCIMENTO, METÁLICA, PLÁSTICA OU TERMOACÚSTICA, INCLUSO TRANSPORTE VERTICAL. AF_07/2019</t>
        </is>
      </c>
      <c r="E54" s="17" t="inlineStr">
        <is>
          <t>m²</t>
        </is>
      </c>
      <c r="F54" s="18" t="n">
        <v>129.27</v>
      </c>
      <c r="G54" s="19" t="n">
        <v>57.92</v>
      </c>
      <c r="H54" s="19" t="str">
        <f>TRUNC(G54 * (1 + 26.86 / 100), 2)</f>
      </c>
      <c r="I54" s="19" t="str">
        <f>TRUNC(F54 * h54, 2)</f>
      </c>
      <c r="J54" s="20" t="str">
        <f>i54 / 237176.09</f>
      </c>
    </row>
    <row customHeight="1" ht="24" r="55">
      <c r="A55" s="8" t="inlineStr">
        <is>
          <t> 5 </t>
        </is>
      </c>
      <c r="B55" s="8"/>
      <c r="C55" s="8"/>
      <c r="D55" s="8" t="inlineStr">
        <is>
          <t>ESQUADRIAS</t>
        </is>
      </c>
      <c r="E55" s="8"/>
      <c r="F55" s="10"/>
      <c r="G55" s="8"/>
      <c r="H55" s="8"/>
      <c r="I55" s="11" t="n">
        <v>15165.21</v>
      </c>
      <c r="J55" s="12" t="str">
        <f>i55 / 237176.09</f>
      </c>
    </row>
    <row customHeight="1" ht="48" r="56">
      <c r="A56" s="16" t="inlineStr">
        <is>
          <t> 5.1 </t>
        </is>
      </c>
      <c r="B56" s="18" t="inlineStr">
        <is>
          <t> 94573 </t>
        </is>
      </c>
      <c r="C56" s="16" t="inlineStr">
        <is>
          <t>SINAPI</t>
        </is>
      </c>
      <c r="D56" s="16" t="inlineStr">
        <is>
          <t>JANELA DE ALUMÍNIO DE CORRER COM 4 FOLHAS PARA VIDROS, COM VIDROS, BATENTE, ACABAMENTO COM ACETATO OU BRILHANTE E FERRAGENS. EXCLUSIVE ALIZAR E CONTRAMARCO. FORNECIMENTO E INSTALAÇÃO. AF_12/2019</t>
        </is>
      </c>
      <c r="E56" s="17" t="inlineStr">
        <is>
          <t>m²</t>
        </is>
      </c>
      <c r="F56" s="18" t="n">
        <v>17.5</v>
      </c>
      <c r="G56" s="19" t="n">
        <v>449.08</v>
      </c>
      <c r="H56" s="19" t="str">
        <f>TRUNC(G56 * (1 + 26.86 / 100), 2)</f>
      </c>
      <c r="I56" s="19" t="str">
        <f>TRUNC(F56 * h56, 2)</f>
      </c>
      <c r="J56" s="20" t="str">
        <f>i56 / 237176.09</f>
      </c>
    </row>
    <row customHeight="1" ht="36" r="57">
      <c r="A57" s="16" t="inlineStr">
        <is>
          <t> 5.2 </t>
        </is>
      </c>
      <c r="B57" s="18" t="inlineStr">
        <is>
          <t> 94569 </t>
        </is>
      </c>
      <c r="C57" s="16" t="inlineStr">
        <is>
          <t>SINAPI</t>
        </is>
      </c>
      <c r="D57" s="16" t="inlineStr">
        <is>
          <t>JANELA DE ALUMÍNIO TIPO MAXIM-AR, COM VIDROS, BATENTE E FERRAGENS. EXCLUSIVE ALIZAR, ACABAMENTO E CONTRAMARCO. FORNECIMENTO E INSTALAÇÃO. AF_12/2019</t>
        </is>
      </c>
      <c r="E57" s="17" t="inlineStr">
        <is>
          <t>m²</t>
        </is>
      </c>
      <c r="F57" s="18" t="n">
        <v>0.2</v>
      </c>
      <c r="G57" s="19" t="n">
        <v>747.29</v>
      </c>
      <c r="H57" s="19" t="str">
        <f>TRUNC(G57 * (1 + 26.86 / 100), 2)</f>
      </c>
      <c r="I57" s="19" t="str">
        <f>TRUNC(F57 * h57, 2)</f>
      </c>
      <c r="J57" s="20" t="str">
        <f>i57 / 237176.09</f>
      </c>
    </row>
    <row customHeight="1" ht="36" r="58">
      <c r="A58" s="16" t="inlineStr">
        <is>
          <t> 5.3 </t>
        </is>
      </c>
      <c r="B58" s="18" t="inlineStr">
        <is>
          <t> 90822 </t>
        </is>
      </c>
      <c r="C58" s="16" t="inlineStr">
        <is>
          <t>SINAPI</t>
        </is>
      </c>
      <c r="D58" s="16" t="inlineStr">
        <is>
          <t>PORTA DE MADEIRA PARA PINTURA, SEMI-OCA (LEVE OU MÉDIA), 80X210CM, ESPESSURA DE 3,5CM, INCLUSO DOBRADIÇAS - FORNECIMENTO E INSTALAÇÃO. AF_12/2019</t>
        </is>
      </c>
      <c r="E58" s="17" t="inlineStr">
        <is>
          <t>UN</t>
        </is>
      </c>
      <c r="F58" s="18" t="n">
        <v>3.0</v>
      </c>
      <c r="G58" s="19" t="n">
        <v>380.22</v>
      </c>
      <c r="H58" s="19" t="str">
        <f>TRUNC(G58 * (1 + 26.86 / 100), 2)</f>
      </c>
      <c r="I58" s="19" t="str">
        <f>TRUNC(F58 * h58, 2)</f>
      </c>
      <c r="J58" s="20" t="str">
        <f>i58 / 237176.09</f>
      </c>
    </row>
    <row customHeight="1" ht="36" r="59">
      <c r="A59" s="16" t="inlineStr">
        <is>
          <t> 5.4 </t>
        </is>
      </c>
      <c r="B59" s="18" t="inlineStr">
        <is>
          <t> 90823 </t>
        </is>
      </c>
      <c r="C59" s="16" t="inlineStr">
        <is>
          <t>SINAPI</t>
        </is>
      </c>
      <c r="D59" s="16" t="inlineStr">
        <is>
          <t>PORTA DE MADEIRA PARA PINTURA, SEMI-OCA (LEVE OU MÉDIA), 90X210CM, ESPESSURA DE 3,5CM, INCLUSO DOBRADIÇAS - FORNECIMENTO E INSTALAÇÃO. AF_12/2019</t>
        </is>
      </c>
      <c r="E59" s="17" t="inlineStr">
        <is>
          <t>UN</t>
        </is>
      </c>
      <c r="F59" s="18" t="n">
        <v>6.0</v>
      </c>
      <c r="G59" s="19" t="n">
        <v>467.56</v>
      </c>
      <c r="H59" s="19" t="str">
        <f>TRUNC(G59 * (1 + 26.86 / 100), 2)</f>
      </c>
      <c r="I59" s="19" t="str">
        <f>TRUNC(F59 * h59, 2)</f>
      </c>
      <c r="J59" s="20" t="str">
        <f>i59 / 237176.09</f>
      </c>
    </row>
    <row customHeight="1" ht="24" r="60">
      <c r="A60" s="8" t="inlineStr">
        <is>
          <t> 6 </t>
        </is>
      </c>
      <c r="B60" s="8"/>
      <c r="C60" s="8"/>
      <c r="D60" s="8" t="inlineStr">
        <is>
          <t>COBERTURA E FORRO</t>
        </is>
      </c>
      <c r="E60" s="8"/>
      <c r="F60" s="10"/>
      <c r="G60" s="8"/>
      <c r="H60" s="8"/>
      <c r="I60" s="11" t="n">
        <v>11914.64</v>
      </c>
      <c r="J60" s="12" t="str">
        <f>i60 / 237176.09</f>
      </c>
    </row>
    <row customHeight="1" ht="36" r="61">
      <c r="A61" s="16" t="inlineStr">
        <is>
          <t> 6.1 </t>
        </is>
      </c>
      <c r="B61" s="18" t="inlineStr">
        <is>
          <t> 96116 </t>
        </is>
      </c>
      <c r="C61" s="16" t="inlineStr">
        <is>
          <t>SINAPI</t>
        </is>
      </c>
      <c r="D61" s="16" t="inlineStr">
        <is>
          <t>FORRO EM RÉGUAS DE PVC, FRISADO, PARA AMBIENTES COMERCIAIS, INCLUSIVE ESTRUTURA DE FIXAÇÃO. AF_05/2017_P</t>
        </is>
      </c>
      <c r="E61" s="17" t="inlineStr">
        <is>
          <t>m²</t>
        </is>
      </c>
      <c r="F61" s="18" t="n">
        <v>5.04</v>
      </c>
      <c r="G61" s="19" t="n">
        <v>80.96</v>
      </c>
      <c r="H61" s="19" t="str">
        <f>TRUNC(G61 * (1 + 26.86 / 100), 2)</f>
      </c>
      <c r="I61" s="19" t="str">
        <f>TRUNC(F61 * h61, 2)</f>
      </c>
      <c r="J61" s="20" t="str">
        <f>i61 / 237176.09</f>
      </c>
    </row>
    <row customHeight="1" ht="24" r="62">
      <c r="A62" s="16" t="inlineStr">
        <is>
          <t> 6.2 </t>
        </is>
      </c>
      <c r="B62" s="18" t="inlineStr">
        <is>
          <t> 96114 </t>
        </is>
      </c>
      <c r="C62" s="16" t="inlineStr">
        <is>
          <t>SINAPI</t>
        </is>
      </c>
      <c r="D62" s="16" t="inlineStr">
        <is>
          <t>FORRO EM DRYWALL, PARA AMBIENTES COMERCIAIS, INCLUSIVE ESTRUTURA DE FIXAÇÃO. AF_05/2017_P</t>
        </is>
      </c>
      <c r="E62" s="17" t="inlineStr">
        <is>
          <t>m²</t>
        </is>
      </c>
      <c r="F62" s="18" t="n">
        <v>105.95</v>
      </c>
      <c r="G62" s="19" t="n">
        <v>84.8</v>
      </c>
      <c r="H62" s="19" t="str">
        <f>TRUNC(G62 * (1 + 26.86 / 100), 2)</f>
      </c>
      <c r="I62" s="19" t="str">
        <f>TRUNC(F62 * h62, 2)</f>
      </c>
      <c r="J62" s="20" t="str">
        <f>i62 / 237176.09</f>
      </c>
    </row>
    <row customHeight="1" ht="24" r="63">
      <c r="A63" s="8" t="inlineStr">
        <is>
          <t> 7 </t>
        </is>
      </c>
      <c r="B63" s="8"/>
      <c r="C63" s="8"/>
      <c r="D63" s="8" t="inlineStr">
        <is>
          <t>REVESTIMENTO E IMPERMEABILIZAÇÃO</t>
        </is>
      </c>
      <c r="E63" s="8"/>
      <c r="F63" s="10"/>
      <c r="G63" s="8"/>
      <c r="H63" s="8"/>
      <c r="I63" s="11" t="n">
        <v>37545.83</v>
      </c>
      <c r="J63" s="12" t="str">
        <f>i63 / 237176.09</f>
      </c>
    </row>
    <row customHeight="1" ht="48" r="64">
      <c r="A64" s="16" t="inlineStr">
        <is>
          <t> 7.1 </t>
        </is>
      </c>
      <c r="B64" s="18" t="inlineStr">
        <is>
          <t> 87879 </t>
        </is>
      </c>
      <c r="C64" s="16" t="inlineStr">
        <is>
          <t>SINAPI</t>
        </is>
      </c>
      <c r="D64" s="16" t="inlineStr">
        <is>
          <t>CHAPISCO APLICADO EM ALVENARIAS E ESTRUTURAS DE CONCRETO INTERNAS, COM COLHER DE PEDREIRO.  ARGAMASSA TRAÇO 1:3 COM PREPARO EM BETONEIRA 400L. AF_06/2014</t>
        </is>
      </c>
      <c r="E64" s="17" t="inlineStr">
        <is>
          <t>m²</t>
        </is>
      </c>
      <c r="F64" s="18" t="n">
        <v>640.16</v>
      </c>
      <c r="G64" s="19" t="n">
        <v>3.95</v>
      </c>
      <c r="H64" s="19" t="str">
        <f>TRUNC(G64 * (1 + 26.86 / 100), 2)</f>
      </c>
      <c r="I64" s="19" t="str">
        <f>TRUNC(F64 * h64, 2)</f>
      </c>
      <c r="J64" s="20" t="str">
        <f>i64 / 237176.09</f>
      </c>
    </row>
    <row customHeight="1" ht="60" r="65">
      <c r="A65" s="16" t="inlineStr">
        <is>
          <t> 7.2 </t>
        </is>
      </c>
      <c r="B65" s="18" t="inlineStr">
        <is>
          <t> 87531 </t>
        </is>
      </c>
      <c r="C65" s="16" t="inlineStr">
        <is>
          <t>SINAPI</t>
        </is>
      </c>
      <c r="D65" s="16" t="inlineStr">
        <is>
          <t>EMBOÇO, PARA RECEBIMENTO DE CERÂMICA, EM ARGAMASSA TRAÇO 1:2:8, PREPARO MECÂNICO COM BETONEIRA 400L, APLICADO MANUALMENTE EM FACES INTERNAS DE PAREDES, PARA AMBIENTE COM ÁREA ENTRE 5M2 E 10M2, ESPESSURA DE 20MM, COM EXECUÇÃO DE TALISCAS. AF_06/2014</t>
        </is>
      </c>
      <c r="E65" s="17" t="inlineStr">
        <is>
          <t>m²</t>
        </is>
      </c>
      <c r="F65" s="18" t="n">
        <v>41.34</v>
      </c>
      <c r="G65" s="19" t="n">
        <v>32.35</v>
      </c>
      <c r="H65" s="19" t="str">
        <f>TRUNC(G65 * (1 + 26.86 / 100), 2)</f>
      </c>
      <c r="I65" s="19" t="str">
        <f>TRUNC(F65 * h65, 2)</f>
      </c>
      <c r="J65" s="20" t="str">
        <f>i65 / 237176.09</f>
      </c>
    </row>
    <row customHeight="1" ht="48" r="66">
      <c r="A66" s="16" t="inlineStr">
        <is>
          <t> 7.3 </t>
        </is>
      </c>
      <c r="B66" s="18" t="inlineStr">
        <is>
          <t> 87792 </t>
        </is>
      </c>
      <c r="C66" s="16" t="inlineStr">
        <is>
          <t>SINAPI</t>
        </is>
      </c>
      <c r="D66" s="16" t="inlineStr">
        <is>
          <t>EMBOÇO OU MASSA ÚNICA EM ARGAMASSA TRAÇO 1:2:8, PREPARO MECÂNICO COM BETONEIRA 400 L, APLICADA MANUALMENTE EM PANOS CEGOS DE FACHADA (SEM PRESENÇA DE VÃOS), ESPESSURA DE 25 MM. AF_06/2014</t>
        </is>
      </c>
      <c r="E66" s="17" t="inlineStr">
        <is>
          <t>m²</t>
        </is>
      </c>
      <c r="F66" s="18" t="n">
        <v>640.16</v>
      </c>
      <c r="G66" s="19" t="n">
        <v>35.82</v>
      </c>
      <c r="H66" s="19" t="str">
        <f>TRUNC(G66 * (1 + 26.86 / 100), 2)</f>
      </c>
      <c r="I66" s="19" t="str">
        <f>TRUNC(F66 * h66, 2)</f>
      </c>
      <c r="J66" s="20" t="str">
        <f>i66 / 237176.09</f>
      </c>
    </row>
    <row customHeight="1" ht="48" r="67">
      <c r="A67" s="16" t="inlineStr">
        <is>
          <t> 7.4 </t>
        </is>
      </c>
      <c r="B67" s="18" t="inlineStr">
        <is>
          <t> 87273 </t>
        </is>
      </c>
      <c r="C67" s="16" t="inlineStr">
        <is>
          <t>SINAPI</t>
        </is>
      </c>
      <c r="D67" s="16" t="inlineStr">
        <is>
          <t>REVESTIMENTO CERÂMICO PARA PAREDES INTERNAS COM PLACAS TIPO ESMALTADA EXTRA DE DIMENSÕES 33X45 CM APLICADAS EM AMBIENTES DE ÁREA MAIOR QUE 5 M² NA ALTURA INTEIRA DAS PAREDES. AF_06/2014</t>
        </is>
      </c>
      <c r="E67" s="17" t="inlineStr">
        <is>
          <t>m²</t>
        </is>
      </c>
      <c r="F67" s="18" t="n">
        <v>41.34</v>
      </c>
      <c r="G67" s="19" t="n">
        <v>67.76</v>
      </c>
      <c r="H67" s="19" t="str">
        <f>TRUNC(G67 * (1 + 26.86 / 100), 2)</f>
      </c>
      <c r="I67" s="19" t="str">
        <f>TRUNC(F67 * h67, 2)</f>
      </c>
      <c r="J67" s="20" t="str">
        <f>i67 / 237176.09</f>
      </c>
    </row>
    <row customHeight="1" ht="24" r="68">
      <c r="A68" s="8" t="inlineStr">
        <is>
          <t> 8 </t>
        </is>
      </c>
      <c r="B68" s="8"/>
      <c r="C68" s="8"/>
      <c r="D68" s="8" t="inlineStr">
        <is>
          <t>PISOS E PAVIMENTOS</t>
        </is>
      </c>
      <c r="E68" s="8"/>
      <c r="F68" s="10"/>
      <c r="G68" s="8"/>
      <c r="H68" s="8"/>
      <c r="I68" s="11" t="n">
        <v>7302.59</v>
      </c>
      <c r="J68" s="12" t="str">
        <f>i68 / 237176.09</f>
      </c>
    </row>
    <row customHeight="1" ht="36" r="69">
      <c r="A69" s="16" t="inlineStr">
        <is>
          <t> 8.1 </t>
        </is>
      </c>
      <c r="B69" s="18" t="inlineStr">
        <is>
          <t> 87251 </t>
        </is>
      </c>
      <c r="C69" s="16" t="inlineStr">
        <is>
          <t>SINAPI</t>
        </is>
      </c>
      <c r="D69" s="16" t="inlineStr">
        <is>
          <t>REVESTIMENTO CERÂMICO PARA PISO COM PLACAS TIPO ESMALTADA EXTRA DE DIMENSÕES 45X45 CM APLICADA EM AMBIENTES DE ÁREA MAIOR QUE 10 M2. AF_06/2014</t>
        </is>
      </c>
      <c r="E69" s="17" t="inlineStr">
        <is>
          <t>m²</t>
        </is>
      </c>
      <c r="F69" s="18" t="n">
        <v>111.9</v>
      </c>
      <c r="G69" s="19" t="n">
        <v>51.45</v>
      </c>
      <c r="H69" s="19" t="str">
        <f>TRUNC(G69 * (1 + 26.86 / 100), 2)</f>
      </c>
      <c r="I69" s="19" t="str">
        <f>TRUNC(F69 * h69, 2)</f>
      </c>
      <c r="J69" s="20" t="str">
        <f>i69 / 237176.09</f>
      </c>
    </row>
    <row customHeight="1" ht="24" r="70">
      <c r="A70" s="8" t="inlineStr">
        <is>
          <t> 9 </t>
        </is>
      </c>
      <c r="B70" s="8"/>
      <c r="C70" s="8"/>
      <c r="D70" s="8" t="inlineStr">
        <is>
          <t>INSTALAÇÕES HIDROSSANITÁRIAS</t>
        </is>
      </c>
      <c r="E70" s="8"/>
      <c r="F70" s="10"/>
      <c r="G70" s="8"/>
      <c r="H70" s="8"/>
      <c r="I70" s="11" t="n">
        <v>8159.79</v>
      </c>
      <c r="J70" s="12" t="str">
        <f>i70 / 237176.09</f>
      </c>
    </row>
    <row customHeight="1" ht="24" r="71">
      <c r="A71" s="8" t="inlineStr">
        <is>
          <t> 9.1 </t>
        </is>
      </c>
      <c r="B71" s="8"/>
      <c r="C71" s="8"/>
      <c r="D71" s="8" t="inlineStr">
        <is>
          <t>HIDRÁULICO</t>
        </is>
      </c>
      <c r="E71" s="8"/>
      <c r="F71" s="10"/>
      <c r="G71" s="8"/>
      <c r="H71" s="8"/>
      <c r="I71" s="11" t="n">
        <v>3070.45</v>
      </c>
      <c r="J71" s="12" t="str">
        <f>i71 / 237176.09</f>
      </c>
    </row>
    <row customHeight="1" ht="24" r="72">
      <c r="A72" s="16" t="inlineStr">
        <is>
          <t> 9.1.1 </t>
        </is>
      </c>
      <c r="B72" s="18" t="inlineStr">
        <is>
          <t> 94797 </t>
        </is>
      </c>
      <c r="C72" s="16" t="inlineStr">
        <is>
          <t>SINAPI</t>
        </is>
      </c>
      <c r="D72" s="16" t="inlineStr">
        <is>
          <t>TORNEIRA DE BOIA, ROSCÁVEL, 1, FORNECIDA E INSTALADA EM RESERVAÇÃO DE ÁGUA. AF_06/2016</t>
        </is>
      </c>
      <c r="E72" s="17" t="inlineStr">
        <is>
          <t>UN</t>
        </is>
      </c>
      <c r="F72" s="18" t="n">
        <v>1.0</v>
      </c>
      <c r="G72" s="19" t="n">
        <v>102.99</v>
      </c>
      <c r="H72" s="19" t="str">
        <f>TRUNC(G72 * (1 + 26.86 / 100), 2)</f>
      </c>
      <c r="I72" s="19" t="str">
        <f>TRUNC(F72 * h72, 2)</f>
      </c>
      <c r="J72" s="20" t="str">
        <f>i72 / 237176.09</f>
      </c>
    </row>
    <row customHeight="1" ht="24" r="73">
      <c r="A73" s="16" t="inlineStr">
        <is>
          <t> 9.1.2 </t>
        </is>
      </c>
      <c r="B73" s="18" t="inlineStr">
        <is>
          <t> 88504 </t>
        </is>
      </c>
      <c r="C73" s="16" t="inlineStr">
        <is>
          <t>SINAPI</t>
        </is>
      </c>
      <c r="D73" s="16" t="inlineStr">
        <is>
          <t>CAIXA D´AGUA EM POLIETILENO, 500 LITROS, COM ACESSÓRIOS</t>
        </is>
      </c>
      <c r="E73" s="17" t="inlineStr">
        <is>
          <t>UN</t>
        </is>
      </c>
      <c r="F73" s="18" t="n">
        <v>1.0</v>
      </c>
      <c r="G73" s="19" t="n">
        <v>774.28</v>
      </c>
      <c r="H73" s="19" t="str">
        <f>TRUNC(G73 * (1 + 26.86 / 100), 2)</f>
      </c>
      <c r="I73" s="19" t="str">
        <f>TRUNC(F73 * h73, 2)</f>
      </c>
      <c r="J73" s="20" t="str">
        <f>i73 / 237176.09</f>
      </c>
    </row>
    <row customHeight="1" ht="24" r="74">
      <c r="A74" s="16" t="inlineStr">
        <is>
          <t> 9.1.3 </t>
        </is>
      </c>
      <c r="B74" s="18" t="inlineStr">
        <is>
          <t> 89625 </t>
        </is>
      </c>
      <c r="C74" s="16" t="inlineStr">
        <is>
          <t>SINAPI</t>
        </is>
      </c>
      <c r="D74" s="16" t="inlineStr">
        <is>
          <t>TE, PVC, SOLDÁVEL, DN 50MM, INSTALADO EM PRUMADA DE ÁGUA - FORNECIMENTO E INSTALAÇÃO. AF_12/2014</t>
        </is>
      </c>
      <c r="E74" s="17" t="inlineStr">
        <is>
          <t>UN</t>
        </is>
      </c>
      <c r="F74" s="18" t="n">
        <v>1.0</v>
      </c>
      <c r="G74" s="19" t="n">
        <v>24.2</v>
      </c>
      <c r="H74" s="19" t="str">
        <f>TRUNC(G74 * (1 + 26.86 / 100), 2)</f>
      </c>
      <c r="I74" s="19" t="str">
        <f>TRUNC(F74 * h74, 2)</f>
      </c>
      <c r="J74" s="20" t="str">
        <f>i74 / 237176.09</f>
      </c>
    </row>
    <row customHeight="1" ht="60" r="75">
      <c r="A75" s="16" t="inlineStr">
        <is>
          <t> 9.1.4 </t>
        </is>
      </c>
      <c r="B75" s="18" t="inlineStr">
        <is>
          <t> 94672 </t>
        </is>
      </c>
      <c r="C75" s="16" t="inlineStr">
        <is>
          <t>SINAPI</t>
        </is>
      </c>
      <c r="D75" s="16" t="inlineStr">
        <is>
          <t>JOELHO 90 GRAUS COM BUCHA DE LATÃO, PVC, SOLDÁVEL, DN  25 MM, X 3/4 INSTALADO EM RESERVAÇÃO DE ÁGUA DE EDIFICAÇÃO QUE POSSUA RESERVATÓRIO DE FIBRA/FIBROCIMENTO   FORNECIMENTO E INSTALAÇÃO. AF_06/2016</t>
        </is>
      </c>
      <c r="E75" s="17" t="inlineStr">
        <is>
          <t>UN</t>
        </is>
      </c>
      <c r="F75" s="18" t="n">
        <v>1.0</v>
      </c>
      <c r="G75" s="19" t="n">
        <v>11.2</v>
      </c>
      <c r="H75" s="19" t="str">
        <f>TRUNC(G75 * (1 + 26.86 / 100), 2)</f>
      </c>
      <c r="I75" s="19" t="str">
        <f>TRUNC(F75 * h75, 2)</f>
      </c>
      <c r="J75" s="20" t="str">
        <f>i75 / 237176.09</f>
      </c>
    </row>
    <row customHeight="1" ht="36" r="76">
      <c r="A76" s="16" t="inlineStr">
        <is>
          <t> 9.1.5 </t>
        </is>
      </c>
      <c r="B76" s="18" t="inlineStr">
        <is>
          <t> 89579 </t>
        </is>
      </c>
      <c r="C76" s="16" t="inlineStr">
        <is>
          <t>SINAPI</t>
        </is>
      </c>
      <c r="D76" s="16" t="inlineStr">
        <is>
          <t>LUVA DE REDUÇÃO, PVC, SOLDÁVEL, DN 50MM X 25MM, INSTALADO EM PRUMADA DE ÁGUA   FORNECIMENTO E INSTALAÇÃO. AF_12/2014</t>
        </is>
      </c>
      <c r="E76" s="17" t="inlineStr">
        <is>
          <t>UN</t>
        </is>
      </c>
      <c r="F76" s="18" t="n">
        <v>1.0</v>
      </c>
      <c r="G76" s="19" t="n">
        <v>12.72</v>
      </c>
      <c r="H76" s="19" t="str">
        <f>TRUNC(G76 * (1 + 26.86 / 100), 2)</f>
      </c>
      <c r="I76" s="19" t="str">
        <f>TRUNC(F76 * h76, 2)</f>
      </c>
      <c r="J76" s="20" t="str">
        <f>i76 / 237176.09</f>
      </c>
    </row>
    <row customHeight="1" ht="48" r="77">
      <c r="A77" s="16" t="inlineStr">
        <is>
          <t> 9.1.6 </t>
        </is>
      </c>
      <c r="B77" s="18" t="inlineStr">
        <is>
          <t> 89444 </t>
        </is>
      </c>
      <c r="C77" s="16" t="inlineStr">
        <is>
          <t>SINAPI</t>
        </is>
      </c>
      <c r="D77" s="16" t="inlineStr">
        <is>
          <t>TÊ COM BUCHA DE LATÃO NA BOLSA CENTRAL, PVC, SOLDÁVEL, DN 32MM X 3/4, INSTALADO EM RAMAL DE DISTRIBUIÇÃO DE ÁGUA - FORNECIMENTO E INSTALAÇÃO. AF_12/2014</t>
        </is>
      </c>
      <c r="E77" s="17" t="inlineStr">
        <is>
          <t>UN</t>
        </is>
      </c>
      <c r="F77" s="18" t="n">
        <v>1.0</v>
      </c>
      <c r="G77" s="19" t="n">
        <v>30.96</v>
      </c>
      <c r="H77" s="19" t="str">
        <f>TRUNC(G77 * (1 + 26.86 / 100), 2)</f>
      </c>
      <c r="I77" s="19" t="str">
        <f>TRUNC(F77 * h77, 2)</f>
      </c>
      <c r="J77" s="20" t="str">
        <f>i77 / 237176.09</f>
      </c>
    </row>
    <row customHeight="1" ht="48" r="78">
      <c r="A78" s="16" t="inlineStr">
        <is>
          <t> 9.1.7 </t>
        </is>
      </c>
      <c r="B78" s="18" t="inlineStr">
        <is>
          <t> 94690 </t>
        </is>
      </c>
      <c r="C78" s="16" t="inlineStr">
        <is>
          <t>SINAPI</t>
        </is>
      </c>
      <c r="D78" s="16" t="inlineStr">
        <is>
          <t>TÊ, PVC, SOLDÁVEL, DN 32 MM INSTALADO EM RESERVAÇÃO DE ÁGUA DE EDIFICAÇÃO QUE POSSUA RESERVATÓRIO DE FIBRA/FIBROCIMENTO   FORNECIMENTO E INSTALAÇÃO. AF_06/2016</t>
        </is>
      </c>
      <c r="E78" s="17" t="inlineStr">
        <is>
          <t>UN</t>
        </is>
      </c>
      <c r="F78" s="18" t="n">
        <v>2.0</v>
      </c>
      <c r="G78" s="19" t="n">
        <v>14.71</v>
      </c>
      <c r="H78" s="19" t="str">
        <f>TRUNC(G78 * (1 + 26.86 / 100), 2)</f>
      </c>
      <c r="I78" s="19" t="str">
        <f>TRUNC(F78 * h78, 2)</f>
      </c>
      <c r="J78" s="20" t="str">
        <f>i78 / 237176.09</f>
      </c>
    </row>
    <row customHeight="1" ht="48" r="79">
      <c r="A79" s="16" t="inlineStr">
        <is>
          <t> 9.1.8 </t>
        </is>
      </c>
      <c r="B79" s="18" t="inlineStr">
        <is>
          <t> 89399 </t>
        </is>
      </c>
      <c r="C79" s="16" t="inlineStr">
        <is>
          <t>SINAPI</t>
        </is>
      </c>
      <c r="D79" s="16" t="inlineStr">
        <is>
          <t>TÊ COM BUCHA DE LATÃO NA BOLSA CENTRAL, PVC, SOLDÁVEL, DN 32MM X 3/4, INSTALADO EM RAMAL OU SUB-RAMAL DE ÁGUA - FORNECIMENTO E INSTALAÇÃO. AF_12/2014</t>
        </is>
      </c>
      <c r="E79" s="17" t="inlineStr">
        <is>
          <t>UN</t>
        </is>
      </c>
      <c r="F79" s="18" t="n">
        <v>2.0</v>
      </c>
      <c r="G79" s="19" t="n">
        <v>34.93</v>
      </c>
      <c r="H79" s="19" t="str">
        <f>TRUNC(G79 * (1 + 26.86 / 100), 2)</f>
      </c>
      <c r="I79" s="19" t="str">
        <f>TRUNC(F79 * h79, 2)</f>
      </c>
      <c r="J79" s="20" t="str">
        <f>i79 / 237176.09</f>
      </c>
    </row>
    <row customHeight="1" ht="60" r="80">
      <c r="A80" s="16" t="inlineStr">
        <is>
          <t> 9.1.9 </t>
        </is>
      </c>
      <c r="B80" s="18" t="inlineStr">
        <is>
          <t> 94672 </t>
        </is>
      </c>
      <c r="C80" s="16" t="inlineStr">
        <is>
          <t>SINAPI</t>
        </is>
      </c>
      <c r="D80" s="16" t="inlineStr">
        <is>
          <t>JOELHO 90 GRAUS COM BUCHA DE LATÃO, PVC, SOLDÁVEL, DN  25 MM, X 3/4 INSTALADO EM RESERVAÇÃO DE ÁGUA DE EDIFICAÇÃO QUE POSSUA RESERVATÓRIO DE FIBRA/FIBROCIMENTO   FORNECIMENTO E INSTALAÇÃO. AF_06/2016</t>
        </is>
      </c>
      <c r="E80" s="17" t="inlineStr">
        <is>
          <t>UN</t>
        </is>
      </c>
      <c r="F80" s="18" t="n">
        <v>4.0</v>
      </c>
      <c r="G80" s="19" t="n">
        <v>11.2</v>
      </c>
      <c r="H80" s="19" t="str">
        <f>TRUNC(G80 * (1 + 26.86 / 100), 2)</f>
      </c>
      <c r="I80" s="19" t="str">
        <f>TRUNC(F80 * h80, 2)</f>
      </c>
      <c r="J80" s="20" t="str">
        <f>i80 / 237176.09</f>
      </c>
    </row>
    <row customHeight="1" ht="36" r="81">
      <c r="A81" s="16" t="inlineStr">
        <is>
          <t> 9.1.10 </t>
        </is>
      </c>
      <c r="B81" s="18" t="inlineStr">
        <is>
          <t> 89501 </t>
        </is>
      </c>
      <c r="C81" s="16" t="inlineStr">
        <is>
          <t>SINAPI</t>
        </is>
      </c>
      <c r="D81" s="16" t="inlineStr">
        <is>
          <t>JOELHO 90 GRAUS, PVC, SOLDÁVEL, DN 50MM, INSTALADO EM PRUMADA DE ÁGUA - FORNECIMENTO E INSTALAÇÃO. AF_12/2014</t>
        </is>
      </c>
      <c r="E81" s="17" t="inlineStr">
        <is>
          <t>UN</t>
        </is>
      </c>
      <c r="F81" s="18" t="n">
        <v>1.0</v>
      </c>
      <c r="G81" s="19" t="n">
        <v>15.17</v>
      </c>
      <c r="H81" s="19" t="str">
        <f>TRUNC(G81 * (1 + 26.86 / 100), 2)</f>
      </c>
      <c r="I81" s="19" t="str">
        <f>TRUNC(F81 * h81, 2)</f>
      </c>
      <c r="J81" s="20" t="str">
        <f>i81 / 237176.09</f>
      </c>
    </row>
    <row customHeight="1" ht="36" r="82">
      <c r="A82" s="16" t="inlineStr">
        <is>
          <t> 9.1.11 </t>
        </is>
      </c>
      <c r="B82" s="18" t="inlineStr">
        <is>
          <t> 89367 </t>
        </is>
      </c>
      <c r="C82" s="16" t="inlineStr">
        <is>
          <t>SINAPI</t>
        </is>
      </c>
      <c r="D82" s="16" t="inlineStr">
        <is>
          <t>JOELHO 90 GRAUS, PVC, SOLDÁVEL, DN 32MM, INSTALADO EM RAMAL OU SUB-RAMAL DE ÁGUA - FORNECIMENTO E INSTALAÇÃO. AF_12/2014</t>
        </is>
      </c>
      <c r="E82" s="17" t="inlineStr">
        <is>
          <t>UN</t>
        </is>
      </c>
      <c r="F82" s="18" t="n">
        <v>1.0</v>
      </c>
      <c r="G82" s="19" t="n">
        <v>11.98</v>
      </c>
      <c r="H82" s="19" t="str">
        <f>TRUNC(G82 * (1 + 26.86 / 100), 2)</f>
      </c>
      <c r="I82" s="19" t="str">
        <f>TRUNC(F82 * h82, 2)</f>
      </c>
      <c r="J82" s="20" t="str">
        <f>i82 / 237176.09</f>
      </c>
    </row>
    <row customHeight="1" ht="48" r="83">
      <c r="A83" s="16" t="inlineStr">
        <is>
          <t> 9.1.12 </t>
        </is>
      </c>
      <c r="B83" s="18" t="inlineStr">
        <is>
          <t> 89596 </t>
        </is>
      </c>
      <c r="C83" s="16" t="inlineStr">
        <is>
          <t>SINAPI</t>
        </is>
      </c>
      <c r="D83" s="16" t="inlineStr">
        <is>
          <t>ADAPTADOR CURTO COM BOLSA E ROSCA PARA REGISTRO, PVC, SOLDÁVEL, DN 50MM X 1.1/2, INSTALADO EM PRUMADA DE ÁGUA - FORNECIMENTO E INSTALAÇÃO. AF_12/2014</t>
        </is>
      </c>
      <c r="E83" s="17" t="inlineStr">
        <is>
          <t>UN</t>
        </is>
      </c>
      <c r="F83" s="18" t="n">
        <v>2.0</v>
      </c>
      <c r="G83" s="19" t="n">
        <v>12.13</v>
      </c>
      <c r="H83" s="19" t="str">
        <f>TRUNC(G83 * (1 + 26.86 / 100), 2)</f>
      </c>
      <c r="I83" s="19" t="str">
        <f>TRUNC(F83 * h83, 2)</f>
      </c>
      <c r="J83" s="20" t="str">
        <f>i83 / 237176.09</f>
      </c>
    </row>
    <row customHeight="1" ht="24" r="84">
      <c r="A84" s="16" t="inlineStr">
        <is>
          <t> 9.1.13 </t>
        </is>
      </c>
      <c r="B84" s="18" t="inlineStr">
        <is>
          <t> 89446 </t>
        </is>
      </c>
      <c r="C84" s="16" t="inlineStr">
        <is>
          <t>SINAPI</t>
        </is>
      </c>
      <c r="D84" s="16" t="inlineStr">
        <is>
          <t>TUBO, PVC, SOLDÁVEL, DN 25MM, INSTALADO EM PRUMADA DE ÁGUA - FORNECIMENTO E INSTALAÇÃO. AF_12/2014</t>
        </is>
      </c>
      <c r="E84" s="17" t="inlineStr">
        <is>
          <t>M</t>
        </is>
      </c>
      <c r="F84" s="18" t="n">
        <v>0.56</v>
      </c>
      <c r="G84" s="19" t="n">
        <v>5.86</v>
      </c>
      <c r="H84" s="19" t="str">
        <f>TRUNC(G84 * (1 + 26.86 / 100), 2)</f>
      </c>
      <c r="I84" s="19" t="str">
        <f>TRUNC(F84 * h84, 2)</f>
      </c>
      <c r="J84" s="20" t="str">
        <f>i84 / 237176.09</f>
      </c>
    </row>
    <row customHeight="1" ht="24" r="85">
      <c r="A85" s="16" t="inlineStr">
        <is>
          <t> 9.1.14 </t>
        </is>
      </c>
      <c r="B85" s="18" t="inlineStr">
        <is>
          <t> 89447 </t>
        </is>
      </c>
      <c r="C85" s="16" t="inlineStr">
        <is>
          <t>SINAPI</t>
        </is>
      </c>
      <c r="D85" s="16" t="inlineStr">
        <is>
          <t>TUBO, PVC, SOLDÁVEL, DN 32MM, INSTALADO EM PRUMADA DE ÁGUA - FORNECIMENTO E INSTALAÇÃO. AF_12/2014</t>
        </is>
      </c>
      <c r="E85" s="17" t="inlineStr">
        <is>
          <t>M</t>
        </is>
      </c>
      <c r="F85" s="18" t="n">
        <v>5.22</v>
      </c>
      <c r="G85" s="19" t="n">
        <v>12.52</v>
      </c>
      <c r="H85" s="19" t="str">
        <f>TRUNC(G85 * (1 + 26.86 / 100), 2)</f>
      </c>
      <c r="I85" s="19" t="str">
        <f>TRUNC(F85 * h85, 2)</f>
      </c>
      <c r="J85" s="20" t="str">
        <f>i85 / 237176.09</f>
      </c>
    </row>
    <row customHeight="1" ht="24" r="86">
      <c r="A86" s="16" t="inlineStr">
        <is>
          <t> 9.1.15 </t>
        </is>
      </c>
      <c r="B86" s="18" t="inlineStr">
        <is>
          <t> 89449 </t>
        </is>
      </c>
      <c r="C86" s="16" t="inlineStr">
        <is>
          <t>SINAPI</t>
        </is>
      </c>
      <c r="D86" s="16" t="inlineStr">
        <is>
          <t>TUBO, PVC, SOLDÁVEL, DN 50MM, INSTALADO EM PRUMADA DE ÁGUA - FORNECIMENTO E INSTALAÇÃO. AF_12/2014</t>
        </is>
      </c>
      <c r="E86" s="17" t="inlineStr">
        <is>
          <t>M</t>
        </is>
      </c>
      <c r="F86" s="18" t="n">
        <v>2.18</v>
      </c>
      <c r="G86" s="19" t="n">
        <v>20.73</v>
      </c>
      <c r="H86" s="19" t="str">
        <f>TRUNC(G86 * (1 + 26.86 / 100), 2)</f>
      </c>
      <c r="I86" s="19" t="str">
        <f>TRUNC(F86 * h86, 2)</f>
      </c>
      <c r="J86" s="20" t="str">
        <f>i86 / 237176.09</f>
      </c>
    </row>
    <row customHeight="1" ht="48" r="87">
      <c r="A87" s="16" t="inlineStr">
        <is>
          <t> 9.1.16 </t>
        </is>
      </c>
      <c r="B87" s="18" t="inlineStr">
        <is>
          <t> 94497 </t>
        </is>
      </c>
      <c r="C87" s="16" t="inlineStr">
        <is>
          <t>SINAPI</t>
        </is>
      </c>
      <c r="D87" s="16" t="inlineStr">
        <is>
          <t>REGISTRO DE GAVETA BRUTO, LATÃO, ROSCÁVEL, 1 1/2, INSTALADO EM RESERVAÇÃO DE ÁGUA DE EDIFICAÇÃO QUE POSSUA RESERVATÓRIO DE FIBRA/FIBROCIMENTO  FORNECIMENTO E INSTALAÇÃO. AF_06/2016</t>
        </is>
      </c>
      <c r="E87" s="17" t="inlineStr">
        <is>
          <t>UN</t>
        </is>
      </c>
      <c r="F87" s="18" t="n">
        <v>1.0</v>
      </c>
      <c r="G87" s="19" t="n">
        <v>87.71</v>
      </c>
      <c r="H87" s="19" t="str">
        <f>TRUNC(G87 * (1 + 26.86 / 100), 2)</f>
      </c>
      <c r="I87" s="19" t="str">
        <f>TRUNC(F87 * h87, 2)</f>
      </c>
      <c r="J87" s="20" t="str">
        <f>i87 / 237176.09</f>
      </c>
    </row>
    <row customHeight="1" ht="24" r="88">
      <c r="A88" s="16" t="inlineStr">
        <is>
          <t> 9.1.17 </t>
        </is>
      </c>
      <c r="B88" s="18" t="inlineStr">
        <is>
          <t> 89353 </t>
        </is>
      </c>
      <c r="C88" s="16" t="inlineStr">
        <is>
          <t>SINAPI</t>
        </is>
      </c>
      <c r="D88" s="16" t="inlineStr">
        <is>
          <t>REGISTRO DE GAVETA BRUTO, LATÃO, ROSCÁVEL, 3/4", FORNECIDO E INSTALADO EM RAMAL DE ÁGUA. AF_12/2014</t>
        </is>
      </c>
      <c r="E88" s="17" t="inlineStr">
        <is>
          <t>UN</t>
        </is>
      </c>
      <c r="F88" s="18" t="n">
        <v>1.0</v>
      </c>
      <c r="G88" s="19" t="n">
        <v>32.87</v>
      </c>
      <c r="H88" s="19" t="str">
        <f>TRUNC(G88 * (1 + 26.86 / 100), 2)</f>
      </c>
      <c r="I88" s="19" t="str">
        <f>TRUNC(F88 * h88, 2)</f>
      </c>
      <c r="J88" s="20" t="str">
        <f>i88 / 237176.09</f>
      </c>
    </row>
    <row customHeight="1" ht="60" r="89">
      <c r="A89" s="16" t="inlineStr">
        <is>
          <t> 9.1.18 </t>
        </is>
      </c>
      <c r="B89" s="18" t="inlineStr">
        <is>
          <t> 86942 </t>
        </is>
      </c>
      <c r="C89" s="16" t="inlineStr">
        <is>
          <t>SINAPI</t>
        </is>
      </c>
      <c r="D89" s="16" t="inlineStr">
        <is>
          <t>LAVATÓRIO LOUÇA BRANCA SUSPENSO, 29,5 X 39CM OU EQUIVALENTE, PADRÃO POPULAR, INCLUSO SIFÃO TIPO GARRAFA EM PVC, VÁLVULA E ENGATE FLEXÍVEL 30CM EM PLÁSTICO E TORNEIRA CROMADA DE MESA, PADRÃO POPULAR - FORNECIMENTO E INSTALAÇÃO. AF_01/2020</t>
        </is>
      </c>
      <c r="E89" s="17" t="inlineStr">
        <is>
          <t>UN</t>
        </is>
      </c>
      <c r="F89" s="18" t="n">
        <v>1.0</v>
      </c>
      <c r="G89" s="19" t="n">
        <v>251.06</v>
      </c>
      <c r="H89" s="19" t="str">
        <f>TRUNC(G89 * (1 + 26.86 / 100), 2)</f>
      </c>
      <c r="I89" s="19" t="str">
        <f>TRUNC(F89 * h89, 2)</f>
      </c>
      <c r="J89" s="20" t="str">
        <f>i89 / 237176.09</f>
      </c>
    </row>
    <row customHeight="1" ht="24" r="90">
      <c r="A90" s="16" t="inlineStr">
        <is>
          <t> 9.1.19 </t>
        </is>
      </c>
      <c r="B90" s="18" t="inlineStr">
        <is>
          <t> 95469 </t>
        </is>
      </c>
      <c r="C90" s="16" t="inlineStr">
        <is>
          <t>SINAPI</t>
        </is>
      </c>
      <c r="D90" s="16" t="inlineStr">
        <is>
          <t>VASO SANITARIO SIFONADO CONVENCIONAL COM  LOUÇA BRANCA - FORNECIMENTO E INSTALAÇÃO. AF_01/2020</t>
        </is>
      </c>
      <c r="E90" s="17" t="inlineStr">
        <is>
          <t>UN</t>
        </is>
      </c>
      <c r="F90" s="18" t="n">
        <v>1.0</v>
      </c>
      <c r="G90" s="19" t="n">
        <v>287.2</v>
      </c>
      <c r="H90" s="19" t="str">
        <f>TRUNC(G90 * (1 + 26.86 / 100), 2)</f>
      </c>
      <c r="I90" s="19" t="str">
        <f>TRUNC(F90 * h90, 2)</f>
      </c>
      <c r="J90" s="20" t="str">
        <f>i90 / 237176.09</f>
      </c>
    </row>
    <row customHeight="1" ht="24" r="91">
      <c r="A91" s="44" t="inlineStr">
        <is>
          <t> 9.1.20 </t>
        </is>
      </c>
      <c r="B91" s="46" t="inlineStr">
        <is>
          <t> 00010423 </t>
        </is>
      </c>
      <c r="C91" s="44" t="inlineStr">
        <is>
          <t>SINAPI</t>
        </is>
      </c>
      <c r="D91" s="44" t="inlineStr">
        <is>
          <t>TANQUE LOUCA BRANCA SUSPENSO *20* L</t>
        </is>
      </c>
      <c r="E91" s="45" t="inlineStr">
        <is>
          <t>UN</t>
        </is>
      </c>
      <c r="F91" s="46" t="n">
        <v>1.0</v>
      </c>
      <c r="G91" s="47" t="n">
        <v>380.09</v>
      </c>
      <c r="H91" s="47" t="str">
        <f>TRUNC(G91 * (1 + 26.86 / 100), 2)</f>
      </c>
      <c r="I91" s="47" t="str">
        <f>TRUNC(F91 * h91, 2)</f>
      </c>
      <c r="J91" s="48" t="str">
        <f>i91 / 237176.09</f>
      </c>
    </row>
    <row customHeight="1" ht="24" r="92">
      <c r="A92" s="44" t="inlineStr">
        <is>
          <t> 9.1.21 </t>
        </is>
      </c>
      <c r="B92" s="46" t="inlineStr">
        <is>
          <t> 00011772 </t>
        </is>
      </c>
      <c r="C92" s="44" t="inlineStr">
        <is>
          <t>SINAPI</t>
        </is>
      </c>
      <c r="D92" s="44" t="inlineStr">
        <is>
          <t>TORNEIRA CROMADA DE MESA PARA COZINHA BICA MOVEL COM AREJADOR 1/2 " OU 3/4 " (REF 1167)</t>
        </is>
      </c>
      <c r="E92" s="45" t="inlineStr">
        <is>
          <t>UN</t>
        </is>
      </c>
      <c r="F92" s="46" t="n">
        <v>1.0</v>
      </c>
      <c r="G92" s="47" t="n">
        <v>115.88</v>
      </c>
      <c r="H92" s="47" t="str">
        <f>TRUNC(G92 * (1 + 26.86 / 100), 2)</f>
      </c>
      <c r="I92" s="47" t="str">
        <f>TRUNC(F92 * h92, 2)</f>
      </c>
      <c r="J92" s="48" t="str">
        <f>i92 / 237176.09</f>
      </c>
    </row>
    <row customHeight="1" ht="24" r="93">
      <c r="A93" s="8" t="inlineStr">
        <is>
          <t> 9.2 </t>
        </is>
      </c>
      <c r="B93" s="8"/>
      <c r="C93" s="8"/>
      <c r="D93" s="8" t="inlineStr">
        <is>
          <t>SANITÁRIO</t>
        </is>
      </c>
      <c r="E93" s="8"/>
      <c r="F93" s="10"/>
      <c r="G93" s="8"/>
      <c r="H93" s="8"/>
      <c r="I93" s="11" t="n">
        <v>5089.34</v>
      </c>
      <c r="J93" s="12" t="str">
        <f>i93 / 237176.09</f>
      </c>
    </row>
    <row customHeight="1" ht="36" r="94">
      <c r="A94" s="16" t="inlineStr">
        <is>
          <t> 9.2.1 </t>
        </is>
      </c>
      <c r="B94" s="18" t="inlineStr">
        <is>
          <t> 98103 </t>
        </is>
      </c>
      <c r="C94" s="16" t="inlineStr">
        <is>
          <t>SINAPI</t>
        </is>
      </c>
      <c r="D94" s="16" t="inlineStr">
        <is>
          <t>CAIXA DE GORDURA DUPLA, CIRCULAR, EM CONCRETO PRÉ-MOLDADO, DIÂMETRO INTERNO = 0,6 M, ALTURA INTERNA = 0,6 M. AF_05/2018</t>
        </is>
      </c>
      <c r="E94" s="17" t="inlineStr">
        <is>
          <t>UN</t>
        </is>
      </c>
      <c r="F94" s="18" t="n">
        <v>1.0</v>
      </c>
      <c r="G94" s="19" t="n">
        <v>168.89</v>
      </c>
      <c r="H94" s="19" t="str">
        <f>TRUNC(G94 * (1 + 26.86 / 100), 2)</f>
      </c>
      <c r="I94" s="19" t="str">
        <f>TRUNC(F94 * h94, 2)</f>
      </c>
      <c r="J94" s="20" t="str">
        <f>i94 / 237176.09</f>
      </c>
    </row>
    <row customHeight="1" ht="24" r="95">
      <c r="A95" s="16" t="inlineStr">
        <is>
          <t> 9.2.2 </t>
        </is>
      </c>
      <c r="B95" s="18" t="inlineStr">
        <is>
          <t> 74166/001 </t>
        </is>
      </c>
      <c r="C95" s="16" t="inlineStr">
        <is>
          <t>SINAPI</t>
        </is>
      </c>
      <c r="D95" s="16" t="inlineStr">
        <is>
          <t>CAIXA DE INSPEÇÃO EM CONCRETO PRÉ-MOLDADO DN 60CM COM TAMPA H= 60CM - FORNECIMENTO E INSTALACAO</t>
        </is>
      </c>
      <c r="E95" s="17" t="inlineStr">
        <is>
          <t>UN</t>
        </is>
      </c>
      <c r="F95" s="18" t="n">
        <v>2.0</v>
      </c>
      <c r="G95" s="19" t="n">
        <v>322.65</v>
      </c>
      <c r="H95" s="19" t="str">
        <f>TRUNC(G95 * (1 + 26.86 / 100), 2)</f>
      </c>
      <c r="I95" s="19" t="str">
        <f>TRUNC(F95 * h95, 2)</f>
      </c>
      <c r="J95" s="20" t="str">
        <f>i95 / 237176.09</f>
      </c>
    </row>
    <row customHeight="1" ht="24" r="96">
      <c r="A96" s="16" t="inlineStr">
        <is>
          <t> 9.2.3 </t>
        </is>
      </c>
      <c r="B96" s="18" t="inlineStr">
        <is>
          <t> 86881 </t>
        </is>
      </c>
      <c r="C96" s="16" t="inlineStr">
        <is>
          <t>SINAPI</t>
        </is>
      </c>
      <c r="D96" s="16" t="inlineStr">
        <is>
          <t>SIFÃO DO TIPO GARRAFA EM METAL CROMADO 1 X 1.1/2 - FORNECIMENTO E INSTALAÇÃO. AF_01/2020</t>
        </is>
      </c>
      <c r="E96" s="17" t="inlineStr">
        <is>
          <t>UN</t>
        </is>
      </c>
      <c r="F96" s="18" t="n">
        <v>4.0</v>
      </c>
      <c r="G96" s="19" t="n">
        <v>217.02</v>
      </c>
      <c r="H96" s="19" t="str">
        <f>TRUNC(G96 * (1 + 26.86 / 100), 2)</f>
      </c>
      <c r="I96" s="19" t="str">
        <f>TRUNC(F96 * h96, 2)</f>
      </c>
      <c r="J96" s="20" t="str">
        <f>i96 / 237176.09</f>
      </c>
    </row>
    <row customHeight="1" ht="24" r="97">
      <c r="A97" s="16" t="inlineStr">
        <is>
          <t> 9.2.4 </t>
        </is>
      </c>
      <c r="B97" s="18" t="inlineStr">
        <is>
          <t> 86883 </t>
        </is>
      </c>
      <c r="C97" s="16" t="inlineStr">
        <is>
          <t>SINAPI</t>
        </is>
      </c>
      <c r="D97" s="16" t="inlineStr">
        <is>
          <t>SIFÃO DO TIPO FLEXÍVEL EM PVC 1  X 1.1/2  - FORNECIMENTO E INSTALAÇÃO. AF_01/2020</t>
        </is>
      </c>
      <c r="E97" s="17" t="inlineStr">
        <is>
          <t>UN</t>
        </is>
      </c>
      <c r="F97" s="18" t="n">
        <v>3.0</v>
      </c>
      <c r="G97" s="19" t="n">
        <v>13.48</v>
      </c>
      <c r="H97" s="19" t="str">
        <f>TRUNC(G97 * (1 + 26.86 / 100), 2)</f>
      </c>
      <c r="I97" s="19" t="str">
        <f>TRUNC(F97 * h97, 2)</f>
      </c>
      <c r="J97" s="20" t="str">
        <f>i97 / 237176.09</f>
      </c>
    </row>
    <row customHeight="1" ht="36" r="98">
      <c r="A98" s="16" t="inlineStr">
        <is>
          <t> 9.2.5 </t>
        </is>
      </c>
      <c r="B98" s="18" t="inlineStr">
        <is>
          <t> 86879 </t>
        </is>
      </c>
      <c r="C98" s="16" t="inlineStr">
        <is>
          <t>SINAPI</t>
        </is>
      </c>
      <c r="D98" s="16" t="inlineStr">
        <is>
          <t>VÁLVULA EM PLÁSTICO 1 PARA PIA, TANQUE OU LAVATÓRIO, COM OU SEM LADRÃO - FORNECIMENTO E INSTALAÇÃO. AF_01/2020</t>
        </is>
      </c>
      <c r="E98" s="17" t="inlineStr">
        <is>
          <t>UN</t>
        </is>
      </c>
      <c r="F98" s="18" t="n">
        <v>7.0</v>
      </c>
      <c r="G98" s="19" t="n">
        <v>7.53</v>
      </c>
      <c r="H98" s="19" t="str">
        <f>TRUNC(G98 * (1 + 26.86 / 100), 2)</f>
      </c>
      <c r="I98" s="19" t="str">
        <f>TRUNC(F98 * h98, 2)</f>
      </c>
      <c r="J98" s="20" t="str">
        <f>i98 / 237176.09</f>
      </c>
    </row>
    <row customHeight="1" ht="48" r="99">
      <c r="A99" s="16" t="inlineStr">
        <is>
          <t> 9.2.6 </t>
        </is>
      </c>
      <c r="B99" s="18" t="inlineStr">
        <is>
          <t> 89731 </t>
        </is>
      </c>
      <c r="C99" s="16" t="inlineStr">
        <is>
          <t>SINAPI</t>
        </is>
      </c>
      <c r="D99" s="16" t="inlineStr">
        <is>
          <t>JOELHO 90 GRAUS, PVC, SERIE NORMAL, ESGOTO PREDIAL, DN 50 MM, JUNTA ELÁSTICA, FORNECIDO E INSTALADO EM RAMAL DE DESCARGA OU RAMAL DE ESGOTO SANITÁRIO. AF_12/2014</t>
        </is>
      </c>
      <c r="E99" s="17" t="inlineStr">
        <is>
          <t>UN</t>
        </is>
      </c>
      <c r="F99" s="18" t="n">
        <v>14.0</v>
      </c>
      <c r="G99" s="19" t="n">
        <v>11.62</v>
      </c>
      <c r="H99" s="19" t="str">
        <f>TRUNC(G99 * (1 + 26.86 / 100), 2)</f>
      </c>
      <c r="I99" s="19" t="str">
        <f>TRUNC(F99 * h99, 2)</f>
      </c>
      <c r="J99" s="20" t="str">
        <f>i99 / 237176.09</f>
      </c>
    </row>
    <row customHeight="1" ht="48" r="100">
      <c r="A100" s="16" t="inlineStr">
        <is>
          <t> 9.2.7 </t>
        </is>
      </c>
      <c r="B100" s="18" t="inlineStr">
        <is>
          <t> 89744 </t>
        </is>
      </c>
      <c r="C100" s="16" t="inlineStr">
        <is>
          <t>SINAPI</t>
        </is>
      </c>
      <c r="D100" s="16" t="inlineStr">
        <is>
          <t>JOELHO 90 GRAUS, PVC, SERIE NORMAL, ESGOTO PREDIAL, DN 100 MM, JUNTA ELÁSTICA, FORNECIDO E INSTALADO EM RAMAL DE DESCARGA OU RAMAL DE ESGOTO SANITÁRIO. AF_12/2014</t>
        </is>
      </c>
      <c r="E100" s="17" t="inlineStr">
        <is>
          <t>UN</t>
        </is>
      </c>
      <c r="F100" s="18" t="n">
        <v>5.0</v>
      </c>
      <c r="G100" s="19" t="n">
        <v>27.45</v>
      </c>
      <c r="H100" s="19" t="str">
        <f>TRUNC(G100 * (1 + 26.86 / 100), 2)</f>
      </c>
      <c r="I100" s="19" t="str">
        <f>TRUNC(F100 * h100, 2)</f>
      </c>
      <c r="J100" s="20" t="str">
        <f>i100 / 237176.09</f>
      </c>
    </row>
    <row customHeight="1" ht="48" r="101">
      <c r="A101" s="16" t="inlineStr">
        <is>
          <t> 9.2.8 </t>
        </is>
      </c>
      <c r="B101" s="18" t="inlineStr">
        <is>
          <t> 89802 </t>
        </is>
      </c>
      <c r="C101" s="16" t="inlineStr">
        <is>
          <t>SINAPI</t>
        </is>
      </c>
      <c r="D101" s="16" t="inlineStr">
        <is>
          <t>JOELHO 45 GRAUS, PVC, SERIE NORMAL, ESGOTO PREDIAL, DN 50 MM, JUNTA ELÁSTICA, FORNECIDO E INSTALADO EM PRUMADA DE ESGOTO SANITÁRIO OU VENTILAÇÃO. AF_12/2014</t>
        </is>
      </c>
      <c r="E101" s="17" t="inlineStr">
        <is>
          <t>UN</t>
        </is>
      </c>
      <c r="F101" s="18" t="n">
        <v>2.0</v>
      </c>
      <c r="G101" s="19" t="n">
        <v>8.87</v>
      </c>
      <c r="H101" s="19" t="str">
        <f>TRUNC(G101 * (1 + 26.86 / 100), 2)</f>
      </c>
      <c r="I101" s="19" t="str">
        <f>TRUNC(F101 * h101, 2)</f>
      </c>
      <c r="J101" s="20" t="str">
        <f>i101 / 237176.09</f>
      </c>
    </row>
    <row customHeight="1" ht="48" r="102">
      <c r="A102" s="16" t="inlineStr">
        <is>
          <t> 9.2.9 </t>
        </is>
      </c>
      <c r="B102" s="18" t="inlineStr">
        <is>
          <t> 89726 </t>
        </is>
      </c>
      <c r="C102" s="16" t="inlineStr">
        <is>
          <t>SINAPI</t>
        </is>
      </c>
      <c r="D102" s="16" t="inlineStr">
        <is>
          <t>JOELHO 45 GRAUS, PVC, SERIE NORMAL, ESGOTO PREDIAL, DN 40 MM, JUNTA SOLDÁVEL, FORNECIDO E INSTALADO EM RAMAL DE DESCARGA OU RAMAL DE ESGOTO SANITÁRIO. AF_12/2014</t>
        </is>
      </c>
      <c r="E102" s="17" t="inlineStr">
        <is>
          <t>UN</t>
        </is>
      </c>
      <c r="F102" s="18" t="n">
        <v>1.0</v>
      </c>
      <c r="G102" s="19" t="n">
        <v>7.73</v>
      </c>
      <c r="H102" s="19" t="str">
        <f>TRUNC(G102 * (1 + 26.86 / 100), 2)</f>
      </c>
      <c r="I102" s="19" t="str">
        <f>TRUNC(F102 * h102, 2)</f>
      </c>
      <c r="J102" s="20" t="str">
        <f>i102 / 237176.09</f>
      </c>
    </row>
    <row customHeight="1" ht="48" r="103">
      <c r="A103" s="16" t="inlineStr">
        <is>
          <t> 9.2.10 </t>
        </is>
      </c>
      <c r="B103" s="18" t="inlineStr">
        <is>
          <t> 89811 </t>
        </is>
      </c>
      <c r="C103" s="16" t="inlineStr">
        <is>
          <t>SINAPI</t>
        </is>
      </c>
      <c r="D103" s="16" t="inlineStr">
        <is>
          <t>CURVA CURTA 90 GRAUS, PVC, SERIE NORMAL, ESGOTO PREDIAL, DN 100 MM, JUNTA ELÁSTICA, FORNECIDO E INSTALADO EM PRUMADA DE ESGOTO SANITÁRIO OU VENTILAÇÃO. AF_12/2014</t>
        </is>
      </c>
      <c r="E103" s="17" t="inlineStr">
        <is>
          <t>UN</t>
        </is>
      </c>
      <c r="F103" s="18" t="n">
        <v>1.0</v>
      </c>
      <c r="G103" s="19" t="n">
        <v>42.42</v>
      </c>
      <c r="H103" s="19" t="str">
        <f>TRUNC(G103 * (1 + 26.86 / 100), 2)</f>
      </c>
      <c r="I103" s="19" t="str">
        <f>TRUNC(F103 * h103, 2)</f>
      </c>
      <c r="J103" s="20" t="str">
        <f>i103 / 237176.09</f>
      </c>
    </row>
    <row customHeight="1" ht="48" r="104">
      <c r="A104" s="16" t="inlineStr">
        <is>
          <t> 9.2.11 </t>
        </is>
      </c>
      <c r="B104" s="18" t="inlineStr">
        <is>
          <t> 89785 </t>
        </is>
      </c>
      <c r="C104" s="16" t="inlineStr">
        <is>
          <t>SINAPI</t>
        </is>
      </c>
      <c r="D104" s="16" t="inlineStr">
        <is>
          <t>JUNÇÃO SIMPLES, PVC, SERIE NORMAL, ESGOTO PREDIAL, DN 50 X 50 MM, JUNTA ELÁSTICA, FORNECIDO E INSTALADO EM RAMAL DE DESCARGA OU RAMAL DE ESGOTO SANITÁRIO. AF_12/2014</t>
        </is>
      </c>
      <c r="E104" s="17" t="inlineStr">
        <is>
          <t>UN</t>
        </is>
      </c>
      <c r="F104" s="18" t="n">
        <v>2.0</v>
      </c>
      <c r="G104" s="19" t="n">
        <v>25.24</v>
      </c>
      <c r="H104" s="19" t="str">
        <f>TRUNC(G104 * (1 + 26.86 / 100), 2)</f>
      </c>
      <c r="I104" s="19" t="str">
        <f>TRUNC(F104 * h104, 2)</f>
      </c>
      <c r="J104" s="20" t="str">
        <f>i104 / 237176.09</f>
      </c>
    </row>
    <row customHeight="1" ht="48" r="105">
      <c r="A105" s="16" t="inlineStr">
        <is>
          <t> 9.2.12 </t>
        </is>
      </c>
      <c r="B105" s="18" t="inlineStr">
        <is>
          <t> 89797 </t>
        </is>
      </c>
      <c r="C105" s="16" t="inlineStr">
        <is>
          <t>SINAPI</t>
        </is>
      </c>
      <c r="D105" s="16" t="inlineStr">
        <is>
          <t>JUNÇÃO SIMPLES, PVC, SERIE NORMAL, ESGOTO PREDIAL, DN 100 X 100 MM, JUNTA ELÁSTICA, FORNECIDO E INSTALADO EM RAMAL DE DESCARGA OU RAMAL DE ESGOTO SANITÁRIO. AF_12/2014</t>
        </is>
      </c>
      <c r="E105" s="17" t="inlineStr">
        <is>
          <t>UN</t>
        </is>
      </c>
      <c r="F105" s="18" t="n">
        <v>1.0</v>
      </c>
      <c r="G105" s="19" t="n">
        <v>55.38</v>
      </c>
      <c r="H105" s="19" t="str">
        <f>TRUNC(G105 * (1 + 26.86 / 100), 2)</f>
      </c>
      <c r="I105" s="19" t="str">
        <f>TRUNC(F105 * h105, 2)</f>
      </c>
      <c r="J105" s="20" t="str">
        <f>i105 / 237176.09</f>
      </c>
    </row>
    <row customHeight="1" ht="36" r="106">
      <c r="A106" s="16" t="inlineStr">
        <is>
          <t> 9.2.13 </t>
        </is>
      </c>
      <c r="B106" s="18" t="inlineStr">
        <is>
          <t> 89711 </t>
        </is>
      </c>
      <c r="C106" s="16" t="inlineStr">
        <is>
          <t>SINAPI</t>
        </is>
      </c>
      <c r="D106" s="16" t="inlineStr">
        <is>
          <t>TUBO PVC, SERIE NORMAL, ESGOTO PREDIAL, DN 40 MM, FORNECIDO E INSTALADO EM RAMAL DE DESCARGA OU RAMAL DE ESGOTO SANITÁRIO. AF_12/2014</t>
        </is>
      </c>
      <c r="E106" s="17" t="inlineStr">
        <is>
          <t>M</t>
        </is>
      </c>
      <c r="F106" s="18" t="n">
        <v>3.76</v>
      </c>
      <c r="G106" s="19" t="n">
        <v>20.69</v>
      </c>
      <c r="H106" s="19" t="str">
        <f>TRUNC(G106 * (1 + 26.86 / 100), 2)</f>
      </c>
      <c r="I106" s="19" t="str">
        <f>TRUNC(F106 * h106, 2)</f>
      </c>
      <c r="J106" s="20" t="str">
        <f>i106 / 237176.09</f>
      </c>
    </row>
    <row customHeight="1" ht="36" r="107">
      <c r="A107" s="16" t="inlineStr">
        <is>
          <t> 9.2.14 </t>
        </is>
      </c>
      <c r="B107" s="18" t="inlineStr">
        <is>
          <t> 89712 </t>
        </is>
      </c>
      <c r="C107" s="16" t="inlineStr">
        <is>
          <t>SINAPI</t>
        </is>
      </c>
      <c r="D107" s="16" t="inlineStr">
        <is>
          <t>TUBO PVC, SERIE NORMAL, ESGOTO PREDIAL, DN 50 MM, FORNECIDO E INSTALADO EM RAMAL DE DESCARGA OU RAMAL DE ESGOTO SANITÁRIO. AF_12/2014</t>
        </is>
      </c>
      <c r="E107" s="17" t="inlineStr">
        <is>
          <t>M</t>
        </is>
      </c>
      <c r="F107" s="18" t="n">
        <v>10.03</v>
      </c>
      <c r="G107" s="19" t="n">
        <v>32.01</v>
      </c>
      <c r="H107" s="19" t="str">
        <f>TRUNC(G107 * (1 + 26.86 / 100), 2)</f>
      </c>
      <c r="I107" s="19" t="str">
        <f>TRUNC(F107 * h107, 2)</f>
      </c>
      <c r="J107" s="20" t="str">
        <f>i107 / 237176.09</f>
      </c>
    </row>
    <row customHeight="1" ht="36" r="108">
      <c r="A108" s="16" t="inlineStr">
        <is>
          <t> 9.2.15 </t>
        </is>
      </c>
      <c r="B108" s="18" t="inlineStr">
        <is>
          <t> 89713 </t>
        </is>
      </c>
      <c r="C108" s="16" t="inlineStr">
        <is>
          <t>SINAPI</t>
        </is>
      </c>
      <c r="D108" s="16" t="inlineStr">
        <is>
          <t>TUBO PVC, SERIE NORMAL, ESGOTO PREDIAL, DN 75 MM, FORNECIDO E INSTALADO EM RAMAL DE DESCARGA OU RAMAL DE ESGOTO SANITÁRIO. AF_12/2014</t>
        </is>
      </c>
      <c r="E108" s="17" t="inlineStr">
        <is>
          <t>M</t>
        </is>
      </c>
      <c r="F108" s="18" t="n">
        <v>8.38</v>
      </c>
      <c r="G108" s="19" t="n">
        <v>48.68</v>
      </c>
      <c r="H108" s="19" t="str">
        <f>TRUNC(G108 * (1 + 26.86 / 100), 2)</f>
      </c>
      <c r="I108" s="19" t="str">
        <f>TRUNC(F108 * h108, 2)</f>
      </c>
      <c r="J108" s="20" t="str">
        <f>i108 / 237176.09</f>
      </c>
    </row>
    <row customHeight="1" ht="36" r="109">
      <c r="A109" s="16" t="inlineStr">
        <is>
          <t> 9.2.16 </t>
        </is>
      </c>
      <c r="B109" s="18" t="inlineStr">
        <is>
          <t> 89714 </t>
        </is>
      </c>
      <c r="C109" s="16" t="inlineStr">
        <is>
          <t>SINAPI</t>
        </is>
      </c>
      <c r="D109" s="16" t="inlineStr">
        <is>
          <t>TUBO PVC, SERIE NORMAL, ESGOTO PREDIAL, DN 100 MM, FORNECIDO E INSTALADO EM RAMAL DE DESCARGA OU RAMAL DE ESGOTO SANITÁRIO. AF_12/2014</t>
        </is>
      </c>
      <c r="E109" s="17" t="inlineStr">
        <is>
          <t>M</t>
        </is>
      </c>
      <c r="F109" s="18" t="n">
        <v>14.5</v>
      </c>
      <c r="G109" s="19" t="n">
        <v>61.48</v>
      </c>
      <c r="H109" s="19" t="str">
        <f>TRUNC(G109 * (1 + 26.86 / 100), 2)</f>
      </c>
      <c r="I109" s="19" t="str">
        <f>TRUNC(F109 * h109, 2)</f>
      </c>
      <c r="J109" s="20" t="str">
        <f>i109 / 237176.09</f>
      </c>
    </row>
    <row customHeight="1" ht="36" r="110">
      <c r="A110" s="16" t="inlineStr">
        <is>
          <t> 9.2.17 </t>
        </is>
      </c>
      <c r="B110" s="18" t="inlineStr">
        <is>
          <t> 89709 </t>
        </is>
      </c>
      <c r="C110" s="16" t="inlineStr">
        <is>
          <t>SINAPI</t>
        </is>
      </c>
      <c r="D110" s="16" t="inlineStr">
        <is>
          <t>RALO SIFONADO, PVC, DN 100 X 40 MM, JUNTA SOLDÁVEL, FORNECIDO E INSTALADO EM RAMAL DE DESCARGA OU EM RAMAL DE ESGOTO SANITÁRIO. AF_12/2014</t>
        </is>
      </c>
      <c r="E110" s="17" t="inlineStr">
        <is>
          <t>UN</t>
        </is>
      </c>
      <c r="F110" s="18" t="n">
        <v>2.0</v>
      </c>
      <c r="G110" s="19" t="n">
        <v>17.65</v>
      </c>
      <c r="H110" s="19" t="str">
        <f>TRUNC(G110 * (1 + 26.86 / 100), 2)</f>
      </c>
      <c r="I110" s="19" t="str">
        <f>TRUNC(F110 * h110, 2)</f>
      </c>
      <c r="J110" s="20" t="str">
        <f>i110 / 237176.09</f>
      </c>
    </row>
    <row customHeight="1" ht="36" r="111">
      <c r="A111" s="16" t="inlineStr">
        <is>
          <t> 9.2.18 </t>
        </is>
      </c>
      <c r="B111" s="18" t="inlineStr">
        <is>
          <t> 89710 </t>
        </is>
      </c>
      <c r="C111" s="16" t="inlineStr">
        <is>
          <t>SINAPI</t>
        </is>
      </c>
      <c r="D111" s="16" t="inlineStr">
        <is>
          <t>RALO SECO, PVC, DN 100 X 40 MM, JUNTA SOLDÁVEL, FORNECIDO E INSTALADO EM RAMAL DE DESCARGA OU EM RAMAL DE ESGOTO SANITÁRIO. AF_12/2014</t>
        </is>
      </c>
      <c r="E111" s="17" t="inlineStr">
        <is>
          <t>UN</t>
        </is>
      </c>
      <c r="F111" s="18" t="n">
        <v>2.0</v>
      </c>
      <c r="G111" s="19" t="n">
        <v>14.7</v>
      </c>
      <c r="H111" s="19" t="str">
        <f>TRUNC(G111 * (1 + 26.86 / 100), 2)</f>
      </c>
      <c r="I111" s="19" t="str">
        <f>TRUNC(F111 * h111, 2)</f>
      </c>
      <c r="J111" s="20" t="str">
        <f>i111 / 237176.09</f>
      </c>
    </row>
    <row customHeight="1" ht="24" r="112">
      <c r="A112" s="8" t="inlineStr">
        <is>
          <t> 10 </t>
        </is>
      </c>
      <c r="B112" s="8"/>
      <c r="C112" s="8"/>
      <c r="D112" s="8" t="inlineStr">
        <is>
          <t>INSTALAÇÕES ELÉTRICAS</t>
        </is>
      </c>
      <c r="E112" s="8"/>
      <c r="F112" s="10"/>
      <c r="G112" s="8"/>
      <c r="H112" s="8"/>
      <c r="I112" s="11" t="n">
        <v>11661.3</v>
      </c>
      <c r="J112" s="12" t="str">
        <f>i112 / 237176.09</f>
      </c>
    </row>
    <row customHeight="1" ht="36" r="113">
      <c r="A113" s="16" t="inlineStr">
        <is>
          <t> 10.1 </t>
        </is>
      </c>
      <c r="B113" s="18" t="inlineStr">
        <is>
          <t> 91939 </t>
        </is>
      </c>
      <c r="C113" s="16" t="inlineStr">
        <is>
          <t>SINAPI</t>
        </is>
      </c>
      <c r="D113" s="16" t="inlineStr">
        <is>
          <t>CAIXA RETANGULAR 4" X 2" ALTA (2,00 M DO PISO), PVC, INSTALADA EM PAREDE - FORNECIMENTO E INSTALAÇÃO. AF_12/2015</t>
        </is>
      </c>
      <c r="E113" s="17" t="inlineStr">
        <is>
          <t>UN</t>
        </is>
      </c>
      <c r="F113" s="18" t="n">
        <v>50.0</v>
      </c>
      <c r="G113" s="19" t="n">
        <v>24.99</v>
      </c>
      <c r="H113" s="19" t="str">
        <f>TRUNC(G113 * (1 + 26.86 / 100), 2)</f>
      </c>
      <c r="I113" s="19" t="str">
        <f>TRUNC(F113 * h113, 2)</f>
      </c>
      <c r="J113" s="20" t="str">
        <f>i113 / 237176.09</f>
      </c>
    </row>
    <row customHeight="1" ht="36" r="114">
      <c r="A114" s="16" t="inlineStr">
        <is>
          <t> 10.2 </t>
        </is>
      </c>
      <c r="B114" s="18" t="inlineStr">
        <is>
          <t> 91924 </t>
        </is>
      </c>
      <c r="C114" s="16" t="inlineStr">
        <is>
          <t>SINAPI</t>
        </is>
      </c>
      <c r="D114" s="16" t="inlineStr">
        <is>
          <t>CABO DE COBRE FLEXÍVEL ISOLADO, 1,5 MM², ANTI-CHAMA 450/750 V, PARA CIRCUITOS TERMINAIS - FORNECIMENTO E INSTALAÇÃO. AF_12/2015</t>
        </is>
      </c>
      <c r="E114" s="17" t="inlineStr">
        <is>
          <t>M</t>
        </is>
      </c>
      <c r="F114" s="18" t="n">
        <v>249.8</v>
      </c>
      <c r="G114" s="19" t="n">
        <v>2.76</v>
      </c>
      <c r="H114" s="19" t="str">
        <f>TRUNC(G114 * (1 + 26.86 / 100), 2)</f>
      </c>
      <c r="I114" s="19" t="str">
        <f>TRUNC(F114 * h114, 2)</f>
      </c>
      <c r="J114" s="20" t="str">
        <f>i114 / 237176.09</f>
      </c>
    </row>
    <row customHeight="1" ht="36" r="115">
      <c r="A115" s="16" t="inlineStr">
        <is>
          <t> 10.3 </t>
        </is>
      </c>
      <c r="B115" s="18" t="inlineStr">
        <is>
          <t> 91926 </t>
        </is>
      </c>
      <c r="C115" s="16" t="inlineStr">
        <is>
          <t>SINAPI</t>
        </is>
      </c>
      <c r="D115" s="16" t="inlineStr">
        <is>
          <t>CABO DE COBRE FLEXÍVEL ISOLADO, 2,5 MM², ANTI-CHAMA 450/750 V, PARA CIRCUITOS TERMINAIS - FORNECIMENTO E INSTALAÇÃO. AF_12/2015</t>
        </is>
      </c>
      <c r="E115" s="17" t="inlineStr">
        <is>
          <t>M</t>
        </is>
      </c>
      <c r="F115" s="18" t="n">
        <v>15.2</v>
      </c>
      <c r="G115" s="19" t="n">
        <v>4.03</v>
      </c>
      <c r="H115" s="19" t="str">
        <f>TRUNC(G115 * (1 + 26.86 / 100), 2)</f>
      </c>
      <c r="I115" s="19" t="str">
        <f>TRUNC(F115 * h115, 2)</f>
      </c>
      <c r="J115" s="20" t="str">
        <f>i115 / 237176.09</f>
      </c>
    </row>
    <row customHeight="1" ht="36" r="116">
      <c r="A116" s="16" t="inlineStr">
        <is>
          <t> 10.4 </t>
        </is>
      </c>
      <c r="B116" s="18" t="inlineStr">
        <is>
          <t> 91928 </t>
        </is>
      </c>
      <c r="C116" s="16" t="inlineStr">
        <is>
          <t>SINAPI</t>
        </is>
      </c>
      <c r="D116" s="16" t="inlineStr">
        <is>
          <t>CABO DE COBRE FLEXÍVEL ISOLADO, 4 MM², ANTI-CHAMA 450/750 V, PARA CIRCUITOS TERMINAIS - FORNECIMENTO E INSTALAÇÃO. AF_12/2015</t>
        </is>
      </c>
      <c r="E116" s="17" t="inlineStr">
        <is>
          <t>M</t>
        </is>
      </c>
      <c r="F116" s="18" t="n">
        <v>349.2</v>
      </c>
      <c r="G116" s="19" t="n">
        <v>6.62</v>
      </c>
      <c r="H116" s="19" t="str">
        <f>TRUNC(G116 * (1 + 26.86 / 100), 2)</f>
      </c>
      <c r="I116" s="19" t="str">
        <f>TRUNC(F116 * h116, 2)</f>
      </c>
      <c r="J116" s="20" t="str">
        <f>i116 / 237176.09</f>
      </c>
    </row>
    <row customHeight="1" ht="36" r="117">
      <c r="A117" s="16" t="inlineStr">
        <is>
          <t> 10.5 </t>
        </is>
      </c>
      <c r="B117" s="18" t="inlineStr">
        <is>
          <t> 91930 </t>
        </is>
      </c>
      <c r="C117" s="16" t="inlineStr">
        <is>
          <t>SINAPI</t>
        </is>
      </c>
      <c r="D117" s="16" t="inlineStr">
        <is>
          <t>CABO DE COBRE FLEXÍVEL ISOLADO, 6 MM², ANTI-CHAMA 450/750 V, PARA CIRCUITOS TERMINAIS - FORNECIMENTO E INSTALAÇÃO. AF_12/2015</t>
        </is>
      </c>
      <c r="E117" s="17" t="inlineStr">
        <is>
          <t>M</t>
        </is>
      </c>
      <c r="F117" s="18" t="n">
        <v>129.9</v>
      </c>
      <c r="G117" s="19" t="n">
        <v>9.09</v>
      </c>
      <c r="H117" s="19" t="str">
        <f>TRUNC(G117 * (1 + 26.86 / 100), 2)</f>
      </c>
      <c r="I117" s="19" t="str">
        <f>TRUNC(F117 * h117, 2)</f>
      </c>
      <c r="J117" s="20" t="str">
        <f>i117 / 237176.09</f>
      </c>
    </row>
    <row customHeight="1" ht="36" r="118">
      <c r="A118" s="16" t="inlineStr">
        <is>
          <t> 10.6 </t>
        </is>
      </c>
      <c r="B118" s="18" t="inlineStr">
        <is>
          <t> 91953 </t>
        </is>
      </c>
      <c r="C118" s="16" t="inlineStr">
        <is>
          <t>SINAPI</t>
        </is>
      </c>
      <c r="D118" s="16" t="inlineStr">
        <is>
          <t>INTERRUPTOR SIMPLES (1 MÓDULO), 10A/250V, INCLUINDO SUPORTE E PLACA - FORNECIMENTO E INSTALAÇÃO. AF_12/2015</t>
        </is>
      </c>
      <c r="E118" s="17" t="inlineStr">
        <is>
          <t>UN</t>
        </is>
      </c>
      <c r="F118" s="18" t="n">
        <v>4.0</v>
      </c>
      <c r="G118" s="19" t="n">
        <v>22.24</v>
      </c>
      <c r="H118" s="19" t="str">
        <f>TRUNC(G118 * (1 + 26.86 / 100), 2)</f>
      </c>
      <c r="I118" s="19" t="str">
        <f>TRUNC(F118 * h118, 2)</f>
      </c>
      <c r="J118" s="20" t="str">
        <f>i118 / 237176.09</f>
      </c>
    </row>
    <row customHeight="1" ht="36" r="119">
      <c r="A119" s="16" t="inlineStr">
        <is>
          <t> 10.7 </t>
        </is>
      </c>
      <c r="B119" s="18" t="inlineStr">
        <is>
          <t> 91955 </t>
        </is>
      </c>
      <c r="C119" s="16" t="inlineStr">
        <is>
          <t>SINAPI</t>
        </is>
      </c>
      <c r="D119" s="16" t="inlineStr">
        <is>
          <t>INTERRUPTOR PARALELO (1 MÓDULO), 10A/250V, INCLUINDO SUPORTE E PLACA - FORNECIMENTO E INSTALAÇÃO. AF_12/2015</t>
        </is>
      </c>
      <c r="E119" s="17" t="inlineStr">
        <is>
          <t>UN</t>
        </is>
      </c>
      <c r="F119" s="18" t="n">
        <v>6.0</v>
      </c>
      <c r="G119" s="19" t="n">
        <v>27.57</v>
      </c>
      <c r="H119" s="19" t="str">
        <f>TRUNC(G119 * (1 + 26.86 / 100), 2)</f>
      </c>
      <c r="I119" s="19" t="str">
        <f>TRUNC(F119 * h119, 2)</f>
      </c>
      <c r="J119" s="20" t="str">
        <f>i119 / 237176.09</f>
      </c>
    </row>
    <row customHeight="1" ht="36" r="120">
      <c r="A120" s="16" t="inlineStr">
        <is>
          <t> 10.8 </t>
        </is>
      </c>
      <c r="B120" s="18" t="inlineStr">
        <is>
          <t> 91996 </t>
        </is>
      </c>
      <c r="C120" s="16" t="inlineStr">
        <is>
          <t>SINAPI</t>
        </is>
      </c>
      <c r="D120" s="16" t="inlineStr">
        <is>
          <t>TOMADA MÉDIA DE EMBUTIR (1 MÓDULO), 2P+T 10 A, INCLUINDO SUPORTE E PLACA - FORNECIMENTO E INSTALAÇÃO. AF_12/2015</t>
        </is>
      </c>
      <c r="E120" s="17" t="inlineStr">
        <is>
          <t>UN</t>
        </is>
      </c>
      <c r="F120" s="18" t="n">
        <v>2.0</v>
      </c>
      <c r="G120" s="19" t="n">
        <v>26.59</v>
      </c>
      <c r="H120" s="19" t="str">
        <f>TRUNC(G120 * (1 + 26.86 / 100), 2)</f>
      </c>
      <c r="I120" s="19" t="str">
        <f>TRUNC(F120 * h120, 2)</f>
      </c>
      <c r="J120" s="20" t="str">
        <f>i120 / 237176.09</f>
      </c>
    </row>
    <row customHeight="1" ht="36" r="121">
      <c r="A121" s="16" t="inlineStr">
        <is>
          <t> 10.9 </t>
        </is>
      </c>
      <c r="B121" s="18" t="inlineStr">
        <is>
          <t> 91997 </t>
        </is>
      </c>
      <c r="C121" s="16" t="inlineStr">
        <is>
          <t>SINAPI</t>
        </is>
      </c>
      <c r="D121" s="16" t="inlineStr">
        <is>
          <t>TOMADA MÉDIA DE EMBUTIR (1 MÓDULO), 2P+T 20 A, INCLUINDO SUPORTE E PLACA - FORNECIMENTO E INSTALAÇÃO. AF_12/2015</t>
        </is>
      </c>
      <c r="E121" s="17" t="inlineStr">
        <is>
          <t>UN</t>
        </is>
      </c>
      <c r="F121" s="18" t="n">
        <v>5.0</v>
      </c>
      <c r="G121" s="19" t="n">
        <v>28.49</v>
      </c>
      <c r="H121" s="19" t="str">
        <f>TRUNC(G121 * (1 + 26.86 / 100), 2)</f>
      </c>
      <c r="I121" s="19" t="str">
        <f>TRUNC(F121 * h121, 2)</f>
      </c>
      <c r="J121" s="20" t="str">
        <f>i121 / 237176.09</f>
      </c>
    </row>
    <row customHeight="1" ht="36" r="122">
      <c r="A122" s="16" t="inlineStr">
        <is>
          <t> 10.10 </t>
        </is>
      </c>
      <c r="B122" s="18" t="inlineStr">
        <is>
          <t> 91994 </t>
        </is>
      </c>
      <c r="C122" s="16" t="inlineStr">
        <is>
          <t>SINAPI</t>
        </is>
      </c>
      <c r="D122" s="16" t="inlineStr">
        <is>
          <t>TOMADA MÉDIA DE EMBUTIR (1 MÓDULO), 2P+T 10 A, SEM SUPORTE E SEM PLACA - FORNECIMENTO E INSTALAÇÃO. AF_12/2015</t>
        </is>
      </c>
      <c r="E122" s="17" t="inlineStr">
        <is>
          <t>UN</t>
        </is>
      </c>
      <c r="F122" s="18" t="n">
        <v>30.0</v>
      </c>
      <c r="G122" s="19" t="n">
        <v>19.87</v>
      </c>
      <c r="H122" s="19" t="str">
        <f>TRUNC(G122 * (1 + 26.86 / 100), 2)</f>
      </c>
      <c r="I122" s="19" t="str">
        <f>TRUNC(F122 * h122, 2)</f>
      </c>
      <c r="J122" s="20" t="str">
        <f>i122 / 237176.09</f>
      </c>
    </row>
    <row customHeight="1" ht="24" r="123">
      <c r="A123" s="16" t="inlineStr">
        <is>
          <t> 10.11 </t>
        </is>
      </c>
      <c r="B123" s="18" t="inlineStr">
        <is>
          <t> 93653 </t>
        </is>
      </c>
      <c r="C123" s="16" t="inlineStr">
        <is>
          <t>SINAPI</t>
        </is>
      </c>
      <c r="D123" s="16" t="inlineStr">
        <is>
          <t>DISJUNTOR MONOPOLAR TIPO DIN, CORRENTE NOMINAL DE 10A - FORNECIMENTO E INSTALAÇÃO. AF_10/2020</t>
        </is>
      </c>
      <c r="E123" s="17" t="inlineStr">
        <is>
          <t>UN</t>
        </is>
      </c>
      <c r="F123" s="18" t="n">
        <v>2.0</v>
      </c>
      <c r="G123" s="19" t="n">
        <v>12.38</v>
      </c>
      <c r="H123" s="19" t="str">
        <f>TRUNC(G123 * (1 + 26.86 / 100), 2)</f>
      </c>
      <c r="I123" s="19" t="str">
        <f>TRUNC(F123 * h123, 2)</f>
      </c>
      <c r="J123" s="20" t="str">
        <f>i123 / 237176.09</f>
      </c>
    </row>
    <row customHeight="1" ht="24" r="124">
      <c r="A124" s="16" t="inlineStr">
        <is>
          <t> 10.12 </t>
        </is>
      </c>
      <c r="B124" s="18" t="inlineStr">
        <is>
          <t> 93656 </t>
        </is>
      </c>
      <c r="C124" s="16" t="inlineStr">
        <is>
          <t>SINAPI</t>
        </is>
      </c>
      <c r="D124" s="16" t="inlineStr">
        <is>
          <t>DISJUNTOR MONOPOLAR TIPO DIN, CORRENTE NOMINAL DE 25A - FORNECIMENTO E INSTALAÇÃO. AF_10/2020</t>
        </is>
      </c>
      <c r="E124" s="17" t="inlineStr">
        <is>
          <t>UN</t>
        </is>
      </c>
      <c r="F124" s="18" t="n">
        <v>8.0</v>
      </c>
      <c r="G124" s="19" t="n">
        <v>13.97</v>
      </c>
      <c r="H124" s="19" t="str">
        <f>TRUNC(G124 * (1 + 26.86 / 100), 2)</f>
      </c>
      <c r="I124" s="19" t="str">
        <f>TRUNC(F124 * h124, 2)</f>
      </c>
      <c r="J124" s="20" t="str">
        <f>i124 / 237176.09</f>
      </c>
    </row>
    <row customHeight="1" ht="24" r="125">
      <c r="A125" s="16" t="inlineStr">
        <is>
          <t> 10.13 </t>
        </is>
      </c>
      <c r="B125" s="18" t="inlineStr">
        <is>
          <t> 93658 </t>
        </is>
      </c>
      <c r="C125" s="16" t="inlineStr">
        <is>
          <t>SINAPI</t>
        </is>
      </c>
      <c r="D125" s="16" t="inlineStr">
        <is>
          <t>DISJUNTOR MONOPOLAR TIPO DIN, CORRENTE NOMINAL DE 40A - FORNECIMENTO E INSTALAÇÃO. AF_10/2020</t>
        </is>
      </c>
      <c r="E125" s="17" t="inlineStr">
        <is>
          <t>UN</t>
        </is>
      </c>
      <c r="F125" s="18" t="n">
        <v>1.0</v>
      </c>
      <c r="G125" s="19" t="n">
        <v>22.06</v>
      </c>
      <c r="H125" s="19" t="str">
        <f>TRUNC(G125 * (1 + 26.86 / 100), 2)</f>
      </c>
      <c r="I125" s="19" t="str">
        <f>TRUNC(F125 * h125, 2)</f>
      </c>
      <c r="J125" s="20" t="str">
        <f>i125 / 237176.09</f>
      </c>
    </row>
    <row customHeight="1" ht="36" r="126">
      <c r="A126" s="16" t="inlineStr">
        <is>
          <t> 10.14 </t>
        </is>
      </c>
      <c r="B126" s="18" t="inlineStr">
        <is>
          <t> 91834 </t>
        </is>
      </c>
      <c r="C126" s="16" t="inlineStr">
        <is>
          <t>SINAPI</t>
        </is>
      </c>
      <c r="D126" s="16" t="inlineStr">
        <is>
          <t>ELETRODUTO FLEXÍVEL CORRUGADO, PVC, DN 25 MM (3/4"), PARA CIRCUITOS TERMINAIS, INSTALADO EM FORRO - FORNECIMENTO E INSTALAÇÃO. AF_12/2015</t>
        </is>
      </c>
      <c r="E126" s="17" t="inlineStr">
        <is>
          <t>M</t>
        </is>
      </c>
      <c r="F126" s="18" t="n">
        <v>176.4</v>
      </c>
      <c r="G126" s="19" t="n">
        <v>8.46</v>
      </c>
      <c r="H126" s="19" t="str">
        <f>TRUNC(G126 * (1 + 26.86 / 100), 2)</f>
      </c>
      <c r="I126" s="19" t="str">
        <f>TRUNC(F126 * h126, 2)</f>
      </c>
      <c r="J126" s="20" t="str">
        <f>i126 / 237176.09</f>
      </c>
    </row>
    <row customHeight="1" ht="36" r="127">
      <c r="A127" s="16" t="inlineStr">
        <is>
          <t> 10.15 </t>
        </is>
      </c>
      <c r="B127" s="18" t="inlineStr">
        <is>
          <t> 91836 </t>
        </is>
      </c>
      <c r="C127" s="16" t="inlineStr">
        <is>
          <t>SINAPI</t>
        </is>
      </c>
      <c r="D127" s="16" t="inlineStr">
        <is>
          <t>ELETRODUTO FLEXÍVEL CORRUGADO, PVC, DN 32 MM (1"), PARA CIRCUITOS TERMINAIS, INSTALADO EM FORRO - FORNECIMENTO E INSTALAÇÃO. AF_12/2015</t>
        </is>
      </c>
      <c r="E127" s="17" t="inlineStr">
        <is>
          <t>M</t>
        </is>
      </c>
      <c r="F127" s="18" t="n">
        <v>24.7</v>
      </c>
      <c r="G127" s="19" t="n">
        <v>11.02</v>
      </c>
      <c r="H127" s="19" t="str">
        <f>TRUNC(G127 * (1 + 26.86 / 100), 2)</f>
      </c>
      <c r="I127" s="19" t="str">
        <f>TRUNC(F127 * h127, 2)</f>
      </c>
      <c r="J127" s="20" t="str">
        <f>i127 / 237176.09</f>
      </c>
    </row>
    <row customHeight="1" ht="36" r="128">
      <c r="A128" s="16" t="inlineStr">
        <is>
          <t> 10.16 </t>
        </is>
      </c>
      <c r="B128" s="18" t="inlineStr">
        <is>
          <t> 74131/001 </t>
        </is>
      </c>
      <c r="C128" s="16" t="inlineStr">
        <is>
          <t>SINAPI</t>
        </is>
      </c>
      <c r="D128" s="16" t="inlineStr">
        <is>
          <t>QUADRO DE DISTRIBUICAO DE ENERGIA DE EMBUTIR, EM PVC, PARA 3 DISJUNTORES TERMOMAGNETICOS MONOPOLARES SEM BARRAMENTO FORNECIMENTO E INSTALACAO</t>
        </is>
      </c>
      <c r="E128" s="17" t="inlineStr">
        <is>
          <t>UN</t>
        </is>
      </c>
      <c r="F128" s="18" t="n">
        <v>1.0</v>
      </c>
      <c r="G128" s="19" t="n">
        <v>77.59</v>
      </c>
      <c r="H128" s="19" t="str">
        <f>TRUNC(G128 * (1 + 26.86 / 100), 2)</f>
      </c>
      <c r="I128" s="19" t="str">
        <f>TRUNC(F128 * h128, 2)</f>
      </c>
      <c r="J128" s="20" t="str">
        <f>i128 / 237176.09</f>
      </c>
    </row>
    <row customHeight="1" ht="36" r="129">
      <c r="A129" s="16" t="inlineStr">
        <is>
          <t> 10.17 </t>
        </is>
      </c>
      <c r="B129" s="18" t="inlineStr">
        <is>
          <t> 97592 </t>
        </is>
      </c>
      <c r="C129" s="16" t="inlineStr">
        <is>
          <t>SINAPI</t>
        </is>
      </c>
      <c r="D129" s="16" t="inlineStr">
        <is>
          <t>LUMINÁRIA TIPO PLAFON, DE SOBREPOR, COM 1 LÂMPADA LED DE 12/13 W, SEM REATOR - FORNECIMENTO E INSTALAÇÃO. AF_02/2020</t>
        </is>
      </c>
      <c r="E129" s="17" t="inlineStr">
        <is>
          <t>UN</t>
        </is>
      </c>
      <c r="F129" s="18" t="n">
        <v>20.0</v>
      </c>
      <c r="G129" s="19" t="n">
        <v>32.82</v>
      </c>
      <c r="H129" s="19" t="str">
        <f>TRUNC(G129 * (1 + 26.86 / 100), 2)</f>
      </c>
      <c r="I129" s="19" t="str">
        <f>TRUNC(F129 * h129, 2)</f>
      </c>
      <c r="J129" s="20" t="str">
        <f>i129 / 237176.09</f>
      </c>
    </row>
    <row customHeight="1" ht="24" r="130">
      <c r="A130" s="8" t="inlineStr">
        <is>
          <t> 11 </t>
        </is>
      </c>
      <c r="B130" s="8"/>
      <c r="C130" s="8"/>
      <c r="D130" s="8" t="inlineStr">
        <is>
          <t>PINTURA</t>
        </is>
      </c>
      <c r="E130" s="8"/>
      <c r="F130" s="10"/>
      <c r="G130" s="8"/>
      <c r="H130" s="8"/>
      <c r="I130" s="11" t="n">
        <v>25896.24</v>
      </c>
      <c r="J130" s="12" t="str">
        <f>i130 / 237176.09</f>
      </c>
    </row>
    <row customHeight="1" ht="24" r="131">
      <c r="A131" s="16" t="inlineStr">
        <is>
          <t> 11.1 </t>
        </is>
      </c>
      <c r="B131" s="18" t="inlineStr">
        <is>
          <t> 88497 </t>
        </is>
      </c>
      <c r="C131" s="16" t="inlineStr">
        <is>
          <t>SINAPI</t>
        </is>
      </c>
      <c r="D131" s="16" t="inlineStr">
        <is>
          <t>APLICAÇÃO E LIXAMENTO DE MASSA LÁTEX EM PAREDES, DUAS DEMÃOS. AF_06/2014</t>
        </is>
      </c>
      <c r="E131" s="17" t="inlineStr">
        <is>
          <t>m²</t>
        </is>
      </c>
      <c r="F131" s="18" t="n">
        <v>684.0</v>
      </c>
      <c r="G131" s="19" t="n">
        <v>15.57</v>
      </c>
      <c r="H131" s="19" t="str">
        <f>TRUNC(G131 * (1 + 26.86 / 100), 2)</f>
      </c>
      <c r="I131" s="19" t="str">
        <f>TRUNC(F131 * h131, 2)</f>
      </c>
      <c r="J131" s="20" t="str">
        <f>i131 / 237176.09</f>
      </c>
    </row>
    <row customHeight="1" ht="24" r="132">
      <c r="A132" s="16" t="inlineStr">
        <is>
          <t> 11.2 </t>
        </is>
      </c>
      <c r="B132" s="18" t="inlineStr">
        <is>
          <t> 88489 </t>
        </is>
      </c>
      <c r="C132" s="16" t="inlineStr">
        <is>
          <t>SINAPI</t>
        </is>
      </c>
      <c r="D132" s="16" t="inlineStr">
        <is>
          <t>APLICAÇÃO MANUAL DE PINTURA COM TINTA LÁTEX ACRÍLICA EM PAREDES, DUAS DEMÃOS. AF_06/2014</t>
        </is>
      </c>
      <c r="E132" s="17" t="inlineStr">
        <is>
          <t>m²</t>
        </is>
      </c>
      <c r="F132" s="18" t="n">
        <v>684.0</v>
      </c>
      <c r="G132" s="19" t="n">
        <v>14.28</v>
      </c>
      <c r="H132" s="19" t="str">
        <f>TRUNC(G132 * (1 + 26.86 / 100), 2)</f>
      </c>
      <c r="I132" s="19" t="str">
        <f>TRUNC(F132 * h132, 2)</f>
      </c>
      <c r="J132" s="20" t="str">
        <f>i132 / 237176.09</f>
      </c>
    </row>
    <row r="133">
      <c r="A133" s="65"/>
      <c r="B133" s="65"/>
      <c r="C133" s="65"/>
      <c r="D133" s="65"/>
      <c r="E133" s="65"/>
      <c r="F133" s="65"/>
      <c r="G133" s="65"/>
      <c r="H133" s="65"/>
      <c r="I133" s="65"/>
      <c r="J133" s="65"/>
    </row>
    <row r="134">
      <c r="A134" s="57"/>
      <c r="B134" s="57"/>
      <c r="C134" s="57"/>
      <c r="D134" s="64"/>
      <c r="E134" s="57"/>
      <c r="F134" s="55" t="inlineStr">
        <is>
          <t>Total sem BDI</t>
        </is>
      </c>
      <c r="G134" s="57"/>
      <c r="H134" s="58" t="n">
        <v>186977.41</v>
      </c>
      <c r="I134" s="57"/>
      <c r="J134" s="57"/>
    </row>
    <row r="135">
      <c r="A135" s="57"/>
      <c r="B135" s="57"/>
      <c r="C135" s="57"/>
      <c r="D135" s="64"/>
      <c r="E135" s="57"/>
      <c r="F135" s="55" t="inlineStr">
        <is>
          <t>Total do BDI</t>
        </is>
      </c>
      <c r="G135" s="57"/>
      <c r="H135" s="58" t="n">
        <v>50198.68</v>
      </c>
      <c r="I135" s="57"/>
      <c r="J135" s="57"/>
    </row>
    <row r="136">
      <c r="A136" s="57"/>
      <c r="B136" s="57"/>
      <c r="C136" s="57"/>
      <c r="D136" s="64"/>
      <c r="E136" s="57"/>
      <c r="F136" s="55" t="inlineStr">
        <is>
          <t>Total Geral</t>
        </is>
      </c>
      <c r="G136" s="57"/>
      <c r="H136" s="58" t="n">
        <v>237176.09</v>
      </c>
      <c r="I136" s="57"/>
      <c r="J136" s="57"/>
    </row>
    <row customHeight="1" ht="60" r="137">
      <c r="A137" s="56"/>
      <c r="B137" s="56"/>
      <c r="C137" s="56"/>
      <c r="D137" s="56"/>
      <c r="E137" s="56"/>
      <c r="F137" s="56"/>
      <c r="G137" s="56"/>
      <c r="H137" s="56"/>
      <c r="I137" s="56"/>
      <c r="J137" s="56"/>
    </row>
    <row customHeight="1" ht="70" r="138">
      <c r="A138" s="65" t="inlineStr">
        <is>
          <t>_______________________________________________________________
Ramon Abraão de Paula
CREA SP 5070772107</t>
        </is>
      </c>
    </row>
  </sheetData>
  <sheetCalcPr fullCalcOnLoad="1"/>
  <mergeCells count="17">
    <mergeCell ref="E1:f1"/>
    <mergeCell ref="g1:h1"/>
    <mergeCell ref="i1:j1"/>
    <mergeCell ref="E2:f2"/>
    <mergeCell ref="g2:h2"/>
    <mergeCell ref="i2:j2"/>
    <mergeCell ref="A3:j3"/>
    <mergeCell ref="A134:C134"/>
    <mergeCell ref="f134:g134"/>
    <mergeCell ref="h134:j134"/>
    <mergeCell ref="A135:C135"/>
    <mergeCell ref="f135:g135"/>
    <mergeCell ref="h135:j135"/>
    <mergeCell ref="A136:C136"/>
    <mergeCell ref="f136:g136"/>
    <mergeCell ref="h136:j136"/>
    <mergeCell ref="A138:j138"/>
  </mergeCells>
  <printOptions verticalCentered="0" horizontalCentered="0" headings="0" gridLines="0"/>
  <pageMargins right="0.5" left="0.5" bottom="1" top="1" footer="0.5" header="0.5"/>
  <pageSetup fitToWidth="1" fitToHeight="0" paperSize="9" orientation="landscape"/>
  <headerFooter differentFirst="0">
    <oddHeader>&amp;L &amp;CPrefeitura Municipal de Porto dos Gaúchos
CNPJ: 03.204.187/0001-33 &amp;R</oddHeader>
    <oddFooter>&amp;L &amp;CPraça Leopoldina Wilke  - Centro - Porto dos Gaúchos / MT &amp;R</oddFooter>
  </headerFooter>
  <drawing r:id="rId7"/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:creator>axlsx</dc:creator>
  <dcterms:created xsi:type="dcterms:W3CDTF">2022-07-11T12:05:11Z</dcterms:created>
  <cp:revision>0</cp:revision>
</cp:coreProperties>
</file>